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655" activeTab="0"/>
  </bookViews>
  <sheets>
    <sheet name="KQKD" sheetId="1" r:id="rId1"/>
    <sheet name="TMBC" sheetId="2" r:id="rId2"/>
    <sheet name="CDKT" sheetId="3" r:id="rId3"/>
    <sheet name="LCTT" sheetId="4" r:id="rId4"/>
    <sheet name="Sheet1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<sst xmlns="http://schemas.openxmlformats.org/spreadsheetml/2006/main" count="731" uniqueCount="650">
  <si>
    <t>+ ThuÕ thu nhËp doanh nghiÖp</t>
  </si>
  <si>
    <t>+ ThuÕ thu nhËp c¸ nh©n</t>
  </si>
  <si>
    <t xml:space="preserve">bao gåm chi phÝ mua ®èi víi hµng mua ngoµi, chi phÝ s¶n xuÊt ®èi víi hµng tù chÕ vµ c¸c chi phÝ liªn  </t>
  </si>
  <si>
    <t>quan trùc tiÕp ph¸t sinh ®Ó cã ®­îc hµng tån kho ë ®Þa ®iÓm vµ tr¹ng th¸i hiÖn t¹i.</t>
  </si>
  <si>
    <t xml:space="preserve">* Cã thêi h¹n thu håi hoÆc thanh to¸n trªn 01 n¨m (hoÆc h¬n 01 chu kú s¶n xuÊt kinh doanh) </t>
  </si>
  <si>
    <t>®­îc ph©n lo¹i lµ tµi s¶n dµi h¹n.</t>
  </si>
  <si>
    <t xml:space="preserve">Dù phßng ph¶i thu khã ®ßi thÓ hiÖn phÇn gi¸ trÞ dù kiÕn bÞ tæn thÊt cña c¸c kho¶n nî ph¶i thu </t>
  </si>
  <si>
    <t>cã kh¶ n¨ng kh«ng thu håi ®­îc t¹i c¸c thêi ®iÓm lËp B¸o c¸o tµi chÝnh.</t>
  </si>
  <si>
    <t xml:space="preserve">c¸o kÕt qu¶ ho¹t ®éng s¶n xuÊt kinh doanh. C¸c kho¶n thu kh¸c (ngoµi lîi nhuËn thuÇn) ®­îc  </t>
  </si>
  <si>
    <t>coi lµ phÇn thu håi c¸c kho¶n ®Çu t­ vµ ®­îc ghi nhËn lµ kho¶n gi¶m trõ gi¸ gèc ®Çu t­.</t>
  </si>
  <si>
    <t xml:space="preserve">+ Cã thêi h¹n thu håi hoÆc ®¸o h¹n kh«ng qu¸ 3 th¸ng kÓ tõ ngµy mua kho¶n ®Çu t­ ®ã ®­îc coi  </t>
  </si>
  <si>
    <t>lµ "t­¬ng ®­¬ng tiÒn"</t>
  </si>
  <si>
    <t xml:space="preserve">+ Cã thêi gian thu håi vèn d­íi 01 n¨m hoÆc trong 1 chu kú s¶n xuÊt kinh doanh ®­îc ph©n lo¹i  </t>
  </si>
  <si>
    <t>lµ tµi s¶n ng¾n h¹n.</t>
  </si>
  <si>
    <t xml:space="preserve">+ Cã thêi gian thu håi vèn trªn 01 n¨m hoÆc h¬n 1 chu kú s¶n xuÊt ®­îc ph©n lo¹i lµ tµi s¶n </t>
  </si>
  <si>
    <t>dµi h¹n.</t>
  </si>
  <si>
    <t xml:space="preserve">+ Cã thêi h¹n thu håi hoÆc ®¸o h¹n kh«ng qu¸ 3 th¸ng kÓ tõ ngµy mua kho¶n ®Çu t­ ®ã ®­îc coi </t>
  </si>
  <si>
    <t xml:space="preserve"> lµ "t­¬ng ®­¬ng tiÒn"</t>
  </si>
  <si>
    <t>+ Cã thêi gian thu håi vèn trªn 01 n¨m hoÆc h¬n 1 chu kú s¶n xuÊt ®­îc ph©n lo¹i lµ tµi s¶n</t>
  </si>
  <si>
    <t xml:space="preserve"> dµi h¹n.</t>
  </si>
  <si>
    <t xml:space="preserve">Dù phßng gi¶m gi¸ ®Çu t­ ®­îc lËp vµo thêi ®iÓm cuèi n¨m, lµ sè chªnh lÖch gi÷a gi¸ gèc cña c¸c </t>
  </si>
  <si>
    <t xml:space="preserve">kho¶n  ®Çu t­ ®­îc h¹ch to¸n trªn trªn sæ s¸ch lín h¬n gi¸ trÞ thÞ tr­êng cña chóng t¹i thêi ®iÓm </t>
  </si>
  <si>
    <t>lËp dù phßng.</t>
  </si>
  <si>
    <t xml:space="preserve">Dù phßng b¶o hµnh s¶n phÈm ®­îc lËp trªn c¬ së c¸c Hîp ®ång ®ang thùc thi, trong thêi gian </t>
  </si>
  <si>
    <t>b¶o hµnh s¶n phÈm, gi¸ trÞ lËp dù phßng b¶o hµnh kh«ng qu¸ 5% gi¸ trÞ Hîp ®ång.</t>
  </si>
  <si>
    <t xml:space="preserve">Trong kú, chi phÝ ®i vay ®Ó phôc vô s¶n xuÊt kinh doanh ®­îc h¹ch to¸n vµo kÕt qu¶n s¶n xuÊt  </t>
  </si>
  <si>
    <t>kinh doanh cña kú s¶n xuÊt Êy.</t>
  </si>
  <si>
    <t xml:space="preserve">C¸c lo¹i chi phÝ tr¶ tr­íc nÕu chØ liªn quan ®Õn n¨m tµi chÝnh hiÖn t¹i ®­îc ghi nhËn vµo chi phÝ  </t>
  </si>
  <si>
    <t>s¶n xuÊt kinh doanh trong n¨m tµi chÝnh.</t>
  </si>
  <si>
    <t xml:space="preserve">C¸c kho¶n dù phßng ph¶i tr¶ ®­îc ghi nhËn theo nguyªn t¾c: Doanh nghiÖp cã nghÜa vô nî hiÖn </t>
  </si>
  <si>
    <t xml:space="preserve">t¹i trªn c¬ së Hîp ®ång, c¸c cam kÕt rµng buéc. </t>
  </si>
  <si>
    <t xml:space="preserve">Sù gi¶m sót vÒ lîi Ých kinh tÕ cã thÓ x¶y ra dÉn ®Õn viÖc yªu cÇu ph¶i thanh to¸n nghÜa vô nî, tõ  </t>
  </si>
  <si>
    <t>®ã mét ­íc tÝnh ®¸ng tin cËy cho c¸c nghÜa vô nî ®­îc ®­a ra ®¶m b¶o.</t>
  </si>
  <si>
    <t xml:space="preserve">Gi¸ trÞ ®­îc ghi nhËn cña mét kho¶n dù phßng ph¶i tr¶ lµ gi¸ trÞ ­íc tÝnh hîp lý nhÊt vÒ kho¶n </t>
  </si>
  <si>
    <t>tiÒn sÏ ph¶i chi tr¶ ®Ó thanh to¸n nghÜa vô nî hiÖn t¹i t¹i ngµy kÕt thóc kú kÕ to¸n.</t>
  </si>
  <si>
    <t xml:space="preserve">+ PhÇn lín rñi ro vµ lîi Ých g¾n liÒn víi quyÒn së h÷u s¶n phÈm hoÆc hµng ho¸ vµ c¸c dÞch vô  </t>
  </si>
  <si>
    <t>cung cÊp ®· ®­îc chuyÓn giao cho ng­êi mua.</t>
  </si>
  <si>
    <t xml:space="preserve">+ C«ng ty kh«ng cßn n¾m gi÷ quyÒn qu¶n lý hµng ho¸ nh­ ng­êi së h÷u hµng ho¸ hoÆc quyÒn </t>
  </si>
  <si>
    <t>kiÓm so¸t, còng nh­ viÖc hoµn tÊt bµn giao c¸c dÞch vô cung cÊp.</t>
  </si>
  <si>
    <t xml:space="preserve">Doanh thu ph¸t sinh tõ tiÒn l·i, tiÒn b¶n quyÒn, cæ tøc, lîi nhuËn ®­îc chia vµ c¸c kho¶n doanh </t>
  </si>
  <si>
    <t>thu ho¹t ®éng tµi chÝnh kh¸c ®­îc ghi nhËn ®ång thêi tho¶ m·n 2 ®iÒu kiÖn sau:</t>
  </si>
  <si>
    <t xml:space="preserve">      TiÒn ký quü</t>
  </si>
  <si>
    <t xml:space="preserve">      TiÒn göi kú h¹n 01 th¸ng</t>
  </si>
  <si>
    <t>* Gi¸ trÞ ghi sæ cña hµng tån kho dïng ®Ó thÕ chÊp, cÇm cè ®¶m b¶o cho c¸c kho¶n nî ph¶i tr¶:</t>
  </si>
  <si>
    <t xml:space="preserve">* Gi¸ trÞ hoµn nhËp dù phßng gi¶m gi¸ hµng tån kho trong kú:                                  </t>
  </si>
  <si>
    <t>T¨ng kh¸c</t>
  </si>
  <si>
    <t>ChuyÓn sang B§S ®Çu t­</t>
  </si>
  <si>
    <t>+ B¶o hiÓm x· héi</t>
  </si>
  <si>
    <t>Sè d­ ®Çu n¨m tr­íc</t>
  </si>
  <si>
    <t>Sè d­ cuèi n¨m tr­íc</t>
  </si>
  <si>
    <t>Sè d­ ®Çu n¨m nay</t>
  </si>
  <si>
    <t>Sè d­ cuèi kú nµy</t>
  </si>
  <si>
    <t>Kú nµy</t>
  </si>
  <si>
    <t>+ Chi phÝ H§QT, BKS</t>
  </si>
  <si>
    <t>+ B¶o hiÓm XH, BHYT, BHTN, KPC§</t>
  </si>
  <si>
    <t>10.1. Lîi nhuËn n¨m tr­íc</t>
  </si>
  <si>
    <t>10.2. Lîi nhuËn n¨m nay</t>
  </si>
  <si>
    <t>(Ban hµnh theo Q§ sè 15/2006/Q§-BTC ngµy 20/3/2006)</t>
  </si>
  <si>
    <t>KÕt qu¶ ho¹t ®éng s¶n xuÊt kinh doanh</t>
  </si>
  <si>
    <t>§¬n vÞ tÝnh: §ång VN</t>
  </si>
  <si>
    <t xml:space="preserve">ChØ tiªu
</t>
  </si>
  <si>
    <t xml:space="preserve">M· sè
</t>
  </si>
  <si>
    <t>ThuyÕt</t>
  </si>
  <si>
    <t xml:space="preserve"> minh</t>
  </si>
  <si>
    <t>N¨m nay</t>
  </si>
  <si>
    <t>N¨m tr­íc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</si>
  <si>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</si>
  <si>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</si>
  <si>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</si>
  <si>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</si>
  <si>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</si>
  <si>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</si>
  <si>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</si>
  <si>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</si>
  <si>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</si>
  <si>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</si>
  <si>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</si>
  <si>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</si>
  <si>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</si>
  <si>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Trong ®ã: Chi phÝ l·i vay ph¶i tr¶</t>
  </si>
  <si>
    <t>8. Chi phÝ b¸n hµng</t>
  </si>
  <si>
    <t>VI.31</t>
  </si>
  <si>
    <t>9. Chi phÝ qu¶n lý doanh nghiÖp</t>
  </si>
  <si>
    <t>VI.32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</si>
  <si>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</si>
  <si>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</si>
  <si>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</si>
  <si>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</si>
  <si>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</si>
  <si>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</si>
  <si>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16. Chi phÝ thuÕ TNDN ho·n l¹i</t>
  </si>
  <si>
    <t>17. Lîi nhuËn sau thuÕ TNDN</t>
  </si>
  <si>
    <t>18. L·i c¬ b¶n trªn cæ phiÕu</t>
  </si>
  <si>
    <t>19. Thu nhËp trªn mçi cæ phiÕu</t>
  </si>
  <si>
    <t>Ghi chó</t>
  </si>
  <si>
    <t>B¶ng c©n ®èi kÕ to¸n</t>
  </si>
  <si>
    <t xml:space="preserve">                                     §¬n vÞ tÝnh: §ång VN</t>
  </si>
  <si>
    <t>Tµi s¶n</t>
  </si>
  <si>
    <t>M· sè</t>
  </si>
  <si>
    <t>T.minh</t>
  </si>
  <si>
    <t>Sè ®Çu n¨m</t>
  </si>
  <si>
    <t>QuÝ II</t>
  </si>
  <si>
    <t>QuÝ III/2001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</si>
  <si>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</si>
  <si>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</si>
  <si>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</si>
  <si>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</si>
  <si>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</si>
  <si>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</si>
  <si>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</si>
  <si>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</si>
  <si>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</si>
  <si>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</si>
  <si>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</si>
  <si>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</si>
  <si>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</si>
  <si>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</si>
  <si>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</si>
  <si>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</si>
  <si>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</si>
  <si>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</si>
  <si>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</si>
  <si>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</si>
  <si>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</si>
  <si>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</si>
  <si>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</si>
  <si>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</si>
  <si>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</si>
  <si>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</si>
  <si>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</si>
  <si>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</si>
  <si>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</si>
  <si>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</si>
  <si>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</si>
  <si>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</si>
  <si>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</si>
  <si>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</si>
  <si>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</si>
  <si>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</si>
  <si>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</si>
  <si>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</si>
  <si>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</si>
  <si>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</si>
  <si>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</si>
  <si>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</si>
  <si>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</si>
  <si>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</si>
  <si>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</si>
  <si>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</si>
  <si>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</si>
  <si>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</si>
  <si>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</si>
  <si>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</si>
  <si>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</si>
  <si>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</si>
  <si>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</si>
  <si>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</si>
  <si>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</si>
  <si>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</si>
  <si>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</si>
  <si>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</si>
  <si>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</si>
  <si>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</si>
  <si>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</si>
  <si>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</si>
  <si>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</si>
  <si>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</si>
  <si>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Sè cuèi n¨m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</si>
  <si>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</si>
  <si>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</si>
  <si>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</si>
  <si>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</si>
  <si>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</si>
  <si>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</si>
  <si>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</si>
  <si>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</si>
  <si>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</si>
  <si>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</si>
  <si>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</si>
  <si>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</si>
  <si>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</si>
  <si>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</si>
  <si>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</si>
  <si>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</si>
  <si>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</si>
  <si>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</si>
  <si>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</si>
  <si>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</si>
  <si>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</si>
  <si>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</si>
  <si>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</si>
  <si>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</si>
  <si>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</si>
  <si>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</si>
  <si>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</si>
  <si>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</si>
  <si>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</si>
  <si>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</si>
  <si>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</si>
  <si>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</si>
  <si>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</si>
  <si>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</si>
  <si>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</si>
  <si>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</si>
  <si>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</si>
  <si>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</si>
  <si>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</si>
  <si>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</si>
  <si>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</si>
  <si>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Tæng céng nguån vèn (440=300+400)</t>
  </si>
  <si>
    <t>Gi¸m ®èc</t>
  </si>
  <si>
    <t>Luü kÕ n¨m</t>
  </si>
  <si>
    <t>ThuyÕt minh b¸o c¸o tµi chÝnh</t>
  </si>
  <si>
    <t>I. §Æc ®iÓm ho¹t ®éng cña doanh nghiÖp</t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</si>
  <si>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</si>
  <si>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</si>
  <si>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</si>
  <si>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4. §Æc ®iÓm ho¹t ®éng kinh doanh cña DN trong kú kÕ to¸n cã ¶nh h­ëng ®Õn b¸o c¸o tµi chÝnh.</t>
  </si>
  <si>
    <t>II. Kú kÕ to¸n, ®¬n vÞ tiÒn tÖ sö dông trong kÕ to¸n.</t>
  </si>
  <si>
    <t>2. §¬n vÞ tiÒn tÖ sö dông trong ghi chÐp kÕ to¸n: §ång ViÖt nam</t>
  </si>
  <si>
    <t>III. ChuÈn mùc vµ chÕ ®é kÕ to¸n ¸p dông.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</si>
  <si>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</si>
  <si>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</si>
  <si>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</si>
  <si>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</si>
  <si>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</si>
  <si>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r>
      <t>+ Nguyªn t¾c x¸c ®Þnh kho¶n tiÒn t­¬ng ®­¬ng.</t>
    </r>
    <r>
      <rPr>
        <i/>
        <sz val="12"/>
        <color indexed="12"/>
        <rFont val=".VnTime"/>
        <family val="2"/>
      </rPr>
      <t xml:space="preserve"> Nguyªn t¾c gi¸ thùc tÕ, ®Ých danh</t>
    </r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</si>
  <si>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</si>
  <si>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</si>
  <si>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</si>
  <si>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</si>
  <si>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</si>
  <si>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</si>
  <si>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trong kú h¹ch to¸n</t>
    </r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</si>
  <si>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</si>
  <si>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</si>
  <si>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</si>
  <si>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</si>
  <si>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</si>
  <si>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</si>
  <si>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</si>
  <si>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</si>
  <si>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</si>
  <si>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</si>
  <si>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</si>
  <si>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</si>
  <si>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</si>
  <si>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</si>
  <si>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</si>
  <si>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</si>
  <si>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</si>
  <si>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</si>
  <si>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C¸c kho¶n ®Çu t­ chøng kho¸n t¹i thêi ®iÓm b¸o c¸o.</t>
  </si>
  <si>
    <t>C¸c kho¶n ®Çu t­ kh¸c t¹i thêi ®iÓm b¸o c¸o.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</si>
  <si>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</si>
  <si>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</si>
  <si>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</si>
  <si>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</si>
  <si>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</si>
  <si>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 xml:space="preserve">ViÖc tÝnh vµ ph©n bæ chi phÝ tr¶ tr­íc dµi h¹n vµo chi phÝ s¶n xuÊt kinh doanh tõng kú h¹ch to¸n </t>
  </si>
  <si>
    <t>hîp lý.</t>
  </si>
  <si>
    <t xml:space="preserve">          C«ng cô dông cô xuÊt dïng cã gi¸ trÞ lín.</t>
  </si>
  <si>
    <t xml:space="preserve">         Chi phÝ söa ch÷a lín tµi s¶n cè ®Þnh ph¸t sinh 1 lÇn qu¸ lín.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</si>
  <si>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</si>
  <si>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</si>
  <si>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</si>
  <si>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+ Cã kh¶ n¨ng thu ®­îc lîi Ých tõ giao dÞch ®ã.</t>
  </si>
  <si>
    <t>thuÕ thu nhËp ho·n l¹i.</t>
  </si>
  <si>
    <t>VI- Th«ng tin bæ sung cho c¸c kho¶n môc tr×nh bµy trong B¶ng c©n ®èi kÕ to¸n.</t>
  </si>
  <si>
    <t xml:space="preserve">1- TiÒn                  </t>
  </si>
  <si>
    <t>+ TiÒn mÆt</t>
  </si>
  <si>
    <t>+ TiÒn göi ng©n hµng</t>
  </si>
  <si>
    <t>+ TiÒn ®ang chuyÓn</t>
  </si>
  <si>
    <t>Céng</t>
  </si>
  <si>
    <t>+ TiÒn göi ng¾n h¹n</t>
  </si>
  <si>
    <t>3- C¸c kho¶n ph¶i thu ng¾n h¹n kh¸c</t>
  </si>
  <si>
    <t>+ Ph¶i thu vÒ cæ phÇn ho¸</t>
  </si>
  <si>
    <t>+ Ph¶i thu kh¸c</t>
  </si>
  <si>
    <t>+ Hµng mua ®ang ®i trªn ®­êng</t>
  </si>
  <si>
    <t>+ Nguyªn liÖu, vËt liÖu</t>
  </si>
  <si>
    <t>+ C«ng cô, dông cô</t>
  </si>
  <si>
    <t>+ Thµnh phÈm</t>
  </si>
  <si>
    <t>+ Hµng ho¸</t>
  </si>
  <si>
    <t>+ Hµng göi ®i b¸n</t>
  </si>
  <si>
    <t>+ Dù phßng gi¶m gi¸ hµng tån kho</t>
  </si>
  <si>
    <t xml:space="preserve">Céng gi¸ gèc hµng tån kho </t>
  </si>
  <si>
    <t>5- ThuÕ vµ c¸c kho¶n ph¶i thu cña Nhµ n­íc</t>
  </si>
  <si>
    <t>M¸y mãc</t>
  </si>
  <si>
    <t>Ph­¬ng tiÖn</t>
  </si>
  <si>
    <t>ThiÕt bÞ</t>
  </si>
  <si>
    <t>TSC§</t>
  </si>
  <si>
    <t xml:space="preserve">Tæng </t>
  </si>
  <si>
    <t>Chi tiÕt</t>
  </si>
  <si>
    <t>Nhµ cöa</t>
  </si>
  <si>
    <t xml:space="preserve">vËn t¶i </t>
  </si>
  <si>
    <t>kh¸c</t>
  </si>
  <si>
    <t>céng</t>
  </si>
  <si>
    <t>truyÒn dÉn</t>
  </si>
  <si>
    <t>Nguyªn gi¸ TSC§ h÷u h×nh</t>
  </si>
  <si>
    <t>Sè d­ ®Çu kú</t>
  </si>
  <si>
    <t>+ Mua trong kú</t>
  </si>
  <si>
    <t>+ §Çu t­ XDCB hoµn thµnh</t>
  </si>
  <si>
    <t>+ T¨ng kh¸c</t>
  </si>
  <si>
    <t>+ ChuyÓn sang TSC§ v« h×nh</t>
  </si>
  <si>
    <t>+ Thanh lý, nh­îng b¸n</t>
  </si>
  <si>
    <t>+ Gi¶m kh¸c</t>
  </si>
  <si>
    <t>Sè d­ cuèi kú</t>
  </si>
  <si>
    <t>Gi¸ trÞ hao mßn luü kÕ</t>
  </si>
  <si>
    <t>KhÊu hao trong kú</t>
  </si>
  <si>
    <t>Thanh lý, nh­îng b¸n</t>
  </si>
  <si>
    <t>Gi¶m kh¸c</t>
  </si>
  <si>
    <t>Gi¸ trÞ cßn l¹i cña TSC§ HH</t>
  </si>
  <si>
    <t>T¹i ngµy ®Çu kú</t>
  </si>
  <si>
    <t>T¹i ngµy cuèi kú</t>
  </si>
  <si>
    <t xml:space="preserve">* Nguyªn gi¸ TSC§ cuèi n¨m chê thanh lý: </t>
  </si>
  <si>
    <t>* C¸c thay ®æi kh¸c vÒ TSC§ h÷u h×nh</t>
  </si>
  <si>
    <t>QuyÒn</t>
  </si>
  <si>
    <t>B¶n quyÒn,</t>
  </si>
  <si>
    <t>Nh·n</t>
  </si>
  <si>
    <t>Kho¶n môc</t>
  </si>
  <si>
    <t>sö dông</t>
  </si>
  <si>
    <t>b»ng</t>
  </si>
  <si>
    <t>hiÖu</t>
  </si>
  <si>
    <t>v« h×nh</t>
  </si>
  <si>
    <t>Tæng céng</t>
  </si>
  <si>
    <t>®Êt</t>
  </si>
  <si>
    <t>s¸ng chÕ</t>
  </si>
  <si>
    <t>hµng ho¸</t>
  </si>
  <si>
    <t>Nguyªn gi¸ TSC§ v« h×nh</t>
  </si>
  <si>
    <t>+ T¨ng tõ ®Çu t­ XDCB</t>
  </si>
  <si>
    <t>+ T¨ng do hîp nhÊt KD</t>
  </si>
  <si>
    <t>+ KhÊu hao trong kú</t>
  </si>
  <si>
    <t>Gi¸ trÞ cßn l¹i cña TSC§ VH</t>
  </si>
  <si>
    <t>+ T¹i ngµy ®Çu kú</t>
  </si>
  <si>
    <t>+ T¹i ngµy cuèi kú</t>
  </si>
  <si>
    <t>Chi tiÕt c«ng tr×nh</t>
  </si>
  <si>
    <t>+ TiÒn c­îc thuª gian hµng</t>
  </si>
  <si>
    <t>+ Kinh phÝ C«ng ®oµn</t>
  </si>
  <si>
    <t>+ Ph¶i tr¶ kh¸c -  TK 1388</t>
  </si>
  <si>
    <t>a- Vay dµi h¹n</t>
  </si>
  <si>
    <t>+ Vay Ng©n hµng</t>
  </si>
  <si>
    <t>b- Nî dµi h¹n</t>
  </si>
  <si>
    <t>+ Ph¶i tr¶ vÒ quü Cæ phÇn ho¸ DN Nhµ n­íc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</si>
  <si>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</si>
  <si>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</si>
  <si>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</si>
  <si>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</si>
  <si>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</si>
  <si>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</si>
  <si>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</si>
  <si>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</si>
  <si>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®¸nh gi¸</t>
  </si>
  <si>
    <t>tû gi¸</t>
  </si>
  <si>
    <t>.......</t>
  </si>
  <si>
    <t>®Çu t­</t>
  </si>
  <si>
    <t>së h÷u</t>
  </si>
  <si>
    <t>cæ phÇn</t>
  </si>
  <si>
    <t>l¹i tµi s¶n</t>
  </si>
  <si>
    <t>hèi ®o¸i</t>
  </si>
  <si>
    <t>XDCB</t>
  </si>
  <si>
    <t>A</t>
  </si>
  <si>
    <t>+ T¨ng vèn trong n¨m tr­íc</t>
  </si>
  <si>
    <t>+ L·i trong n¨m tr­íc</t>
  </si>
  <si>
    <t>+ Gi¶m vèn trong n¨m tr­íc</t>
  </si>
  <si>
    <t>+ Lç trong n¨m tr­íc</t>
  </si>
  <si>
    <t>+ T¨ng vèn trong n¨m nay</t>
  </si>
  <si>
    <t>+ L·i trong n¨m nay</t>
  </si>
  <si>
    <t>+ Gi¶m vèn trong n¨m nay</t>
  </si>
  <si>
    <t>+ Lç trong n¨m nay</t>
  </si>
  <si>
    <t>§Çu n¨m</t>
  </si>
  <si>
    <t>e. C¸c quü cña doanh nghiÖp</t>
  </si>
  <si>
    <t>+ Quü ®Çu t­ ph¸t triÓn s¶n xuÊt</t>
  </si>
  <si>
    <t>+ Quü dù phßng tµi chÝnh</t>
  </si>
  <si>
    <t>VI. Th«ng tin bæ sung cho c¸c kho¶n môc tr×nh bµy trong b¸o c¸o kÕt qu¶ ho¹t ®éng SXKD</t>
  </si>
  <si>
    <t>- Doanh thu b¸n hµng ho¸</t>
  </si>
  <si>
    <t>- Doanh thu b¸n c¸c thµnh phÈm</t>
  </si>
  <si>
    <t>- Doanh thu cung cÊp dÞch vô</t>
  </si>
  <si>
    <t>- Hµng b¸n bÞ tr¶ l¹i</t>
  </si>
  <si>
    <t>Trong ®ã: - Doanh thu thuÇn trao ®æi hµng ho¸</t>
  </si>
  <si>
    <t>- Doanh thu thuÇn b¸n thµnh phÈm s¶n xuÊt</t>
  </si>
  <si>
    <t>- Doanh thu thuÇn trao ®æi dÞch vô</t>
  </si>
  <si>
    <t>+ Gi¸ vèn cña hµng ho¸ ®· b¸n</t>
  </si>
  <si>
    <t>+ Gi¸ vèn cña thµnh phÈm ®· b¸n</t>
  </si>
  <si>
    <t>+ L·i tiÒn göi, tiÒn cho vay</t>
  </si>
  <si>
    <t>+ L·i tiÒn vay</t>
  </si>
  <si>
    <t>+ TiÒn l­¬ng nh©n viªn b¸n hµng</t>
  </si>
  <si>
    <t>+ Chi khÊu hao TSC§</t>
  </si>
  <si>
    <t>+ Chi dÞch vô mua ngoµi</t>
  </si>
  <si>
    <t>+ Chi phÝ b¸n hµng trùc tiÕp</t>
  </si>
  <si>
    <t>+ Chi phÝ kh¸c phôc vô b¸n hµng</t>
  </si>
  <si>
    <t>+ TiÒn l­¬ng nh©n viªn qu¶n lý</t>
  </si>
  <si>
    <t>+ Chi nguyªn nhiªn vËt liÖu</t>
  </si>
  <si>
    <t>+ Chi ®å dïng v¨n phßng</t>
  </si>
  <si>
    <t>+ KhÊu hao TSC§</t>
  </si>
  <si>
    <t>+ ThuÕ, phÝ vµ lÖ phÝ</t>
  </si>
  <si>
    <t>33.1- Chi phÝ nguyªn liÖu, vËt liÖu</t>
  </si>
  <si>
    <t>+ Chi phÝ nguyªn vËt liÖu</t>
  </si>
  <si>
    <t>+ Chi phÝ nhiªn liÖu</t>
  </si>
  <si>
    <t>33.2- Chi phÝ nh©n c«ng</t>
  </si>
  <si>
    <t>+ Chi phÝ tiÒn l­¬ng</t>
  </si>
  <si>
    <t>+ TiÒn ¨n ca</t>
  </si>
  <si>
    <t>33.3- Chi phÝ khÊu hao tµi s¶n cè ®Þnh</t>
  </si>
  <si>
    <t>33.4- ThuÕ phÝ vµ lÖ phÝ</t>
  </si>
  <si>
    <t>33.5- Chi phÝ dÞch vô mua ngoµi</t>
  </si>
  <si>
    <t>33.6- Chi phÝ kh¸c</t>
  </si>
  <si>
    <r>
      <t>VIII- Nh÷ng th«ng tin kh¸c</t>
    </r>
    <r>
      <rPr>
        <sz val="12"/>
        <color indexed="12"/>
        <rFont val=".VnTime"/>
        <family val="2"/>
      </rPr>
      <t>:</t>
    </r>
  </si>
  <si>
    <t>6- Tµi s¶n ng¾n h¹n kh¸c</t>
  </si>
  <si>
    <t>8 - C¸c kho¶n ph¶i thu dµi h¹n kh¸c</t>
  </si>
  <si>
    <t>7 - Ph¶i thu dµi h¹n néi bé</t>
  </si>
  <si>
    <t>9 - T¨ng, gi¶m tµi s¶n cè ®Þnh h÷u h×nh</t>
  </si>
  <si>
    <t>10 - T¨ng, gi¶m TSC§ thuª tµi chÝnh:</t>
  </si>
  <si>
    <t>11 - T¨ng, gi¶m tµi s¶n cè ®Þnh v« h×nh:</t>
  </si>
  <si>
    <t>+ Quü dù phßng trî cÊp mÊt viÖc lµm</t>
  </si>
  <si>
    <t>l¾p ®Æt c¸c c«ng tr×nh ®iÖn h¹ thÕ.</t>
  </si>
  <si>
    <t xml:space="preserve">®­îc c¨n cø vµo tÝnh chÊt, møc ®é tõng lo¹i chi phÝ ®Ó chän ph­¬ng ph¸p vµ tiªu thøc ph©n bæ </t>
  </si>
  <si>
    <t>+ C¸c kho¶n t­¬ng ®­¬ng tiÒn</t>
  </si>
  <si>
    <t>+ Gi¸ vèn cña dÞch vô cung cÊp</t>
  </si>
  <si>
    <t xml:space="preserve">               C«ng ty CP ChÕ T¹o B¬m h¶I D­¬ng</t>
  </si>
  <si>
    <t xml:space="preserve">                     Tel: 0320 3844876, Fax: 03203858606, Email: hpmchd@vnn.vn, Website: www.hpmc.com.vn</t>
  </si>
  <si>
    <t xml:space="preserve">                Sè 37 §¹i lé Hå ChÝ Minh - TP H¶i D­¬ng</t>
  </si>
  <si>
    <t>MÉu sè B01a-DN</t>
  </si>
  <si>
    <t xml:space="preserve">Sè cuèi kú </t>
  </si>
  <si>
    <t>bÞ, phô tïng phôc vô s¶n xu¸t kinh doanh cña c«ng ty; x©y l¾p, söa ch÷a c¸c c«ng tr×nh cÊp tho¸t n­íc</t>
  </si>
  <si>
    <t>c¸c hÖ thèng m¸y b¬m, van vµ c¸c s¶n phÈm kh¸c cña c«ng ty; chÕ t¹o, cung øng vËt t­, thiÕt bÞ vµ</t>
  </si>
  <si>
    <t>C«ng ty sö dông tÝnh khÊu hao theo ®­êng th¼ng víi thêi gian sö dông ­íc tÝnh nh­ sau:</t>
  </si>
  <si>
    <t xml:space="preserve">        Ph¶i thu kh¸c - TK 1388</t>
  </si>
  <si>
    <t>Cuèi kú</t>
  </si>
  <si>
    <t>+ Lix¨ng cña H§ trî gióp kü thuËt AVK</t>
  </si>
  <si>
    <t>VI.29</t>
  </si>
  <si>
    <t>VI.30</t>
  </si>
  <si>
    <t>11. Quü khen th­ëng, phóc lîi</t>
  </si>
  <si>
    <t>1. Nguån kinh phÝ</t>
  </si>
  <si>
    <t>2. Nguån kinh phÝ ®· h×nh thµnh TSC§</t>
  </si>
  <si>
    <r>
      <t xml:space="preserve">1. H×nh thøc së h÷u vèn: </t>
    </r>
    <r>
      <rPr>
        <i/>
        <sz val="12"/>
        <color indexed="12"/>
        <rFont val=".VnTime"/>
        <family val="2"/>
      </rPr>
      <t>Vèn cæ phÇn</t>
    </r>
  </si>
  <si>
    <t>* C¸c cam kÕt vÒ viÖc mua b¸n TSC§……</t>
  </si>
  <si>
    <t>+ Chi phÝ b¶o hµnh s¶n phÈm</t>
  </si>
  <si>
    <t>+ Chi phÝ dù phßng ph¶i thu khã ®ßi</t>
  </si>
  <si>
    <t xml:space="preserve">                   Sè 37 §¹i lé Hå ChÝ Minh - TP H¶i D­¬ng</t>
  </si>
  <si>
    <t>* Nguyªn gi¸ TSC§ cuèi kú ®·  
KH hÕt nh­ng vÉn cßn sö dông:</t>
  </si>
  <si>
    <t>Cho kú ho¹t ®éng tõ 01/7 ®Õn 30/9</t>
  </si>
  <si>
    <t>Th¸ng 9/2010</t>
  </si>
  <si>
    <t>Tõ 1/7 - 31/8/2010</t>
  </si>
  <si>
    <t>+ Chi phÝ qu¶ng c¸o</t>
  </si>
  <si>
    <t xml:space="preserve">C¸c chi phÝ kh¸c phôc vô cho ho¹t ®éng ®Çu t­ x©y dùng c¬ b¶n, c¶i t¹o n©ng cÊp TSC§ trong  </t>
  </si>
  <si>
    <t>kú ®­îc vèn ho¸ vµo tµi s¶n cè ®Þnh ®ang ®­îc ®Çu t­, n©ng cÊp, c¶i t¹o ®ã.</t>
  </si>
  <si>
    <t xml:space="preserve">Chi phÝ tr¶ tr­íc ph©n bæ cho ho¹t ®éng ®Çu t­ x©y dùng c¬ b¶n, c¶i t¹o n©ng cÊp TSC§ trong  </t>
  </si>
  <si>
    <r>
      <t xml:space="preserve">B. Tµi s¶n  dµi h¹n </t>
    </r>
    <r>
      <rPr>
        <b/>
        <u val="single"/>
        <sz val="10"/>
        <color indexed="12"/>
        <rFont val=".VnTimeH"/>
        <family val="2"/>
      </rPr>
      <t>(200=210+220+240+250+260)</t>
    </r>
  </si>
  <si>
    <r>
      <t>A. Tµi s¶n ng¾n h¹n</t>
    </r>
    <r>
      <rPr>
        <b/>
        <u val="single"/>
        <sz val="11"/>
        <color indexed="12"/>
        <rFont val=".VnTimeH"/>
        <family val="2"/>
      </rPr>
      <t xml:space="preserve"> </t>
    </r>
    <r>
      <rPr>
        <b/>
        <u val="single"/>
        <sz val="10"/>
        <color indexed="12"/>
        <rFont val=".VnTimeH"/>
        <family val="2"/>
      </rPr>
      <t>(100 = 110+120+130+140+150)</t>
    </r>
  </si>
  <si>
    <t xml:space="preserve">                   (Ký tªn, ®ãng dÊu) </t>
  </si>
  <si>
    <t>N¨m 2010</t>
  </si>
  <si>
    <t>N¨m 2009</t>
  </si>
  <si>
    <t xml:space="preserve">                C«ng ty CP ChÕ T¹o B¬m h¶I D­¬ng</t>
  </si>
  <si>
    <t>Cho kú ho¹t ®éng tõ 01/10 ®Õn 31/12</t>
  </si>
  <si>
    <t>+ ThuÕ GTGT ®Çu ra</t>
  </si>
  <si>
    <t>+ C¸c kho¶n cÇm cè, ký c­îc, ký quü ng¾n h¹n</t>
  </si>
  <si>
    <t>+ C¸c kho¶n t¹m øng cña ng­êi lao ®éng</t>
  </si>
  <si>
    <t>+ Chi phÝ nhµ x­ëng cò lµm nhµ kho</t>
  </si>
  <si>
    <t>+ Chi phÝ b¶o tr× phÇn mÒm kÕ to¸n BRAVO</t>
  </si>
  <si>
    <t>+ Chi phÝ tr¶ tr­íc dµi h¹n kh¸c</t>
  </si>
  <si>
    <t>+ Vay ng¾n h¹n NH c«ng th­¬ng H¶i D­¬ng</t>
  </si>
  <si>
    <t xml:space="preserve">Kho¶n ®Çu t­ vµo C«ng ty con, C«ng ty liªn kÕt ®­îc kÕ to¸n theo Ph­¬ng ph¸p gi¸ gèc. Lîi nhuËn </t>
  </si>
  <si>
    <t xml:space="preserve">thuÇn ®­îc chia tõ C«ng ty con, C«ng ty liªn kÕt ph¸t sinh sau ngµy ®Çu t­ ®­îc ghi nhËn vµo B¸o </t>
  </si>
  <si>
    <t>Chi phÝ ®i vay liªn quan trùc tiÕp ®Õn viÖc ®Çu t­ x©y dùng hoÆc ®Çu t­ TSC§ ®­îc tÝnh th¼ng</t>
  </si>
  <si>
    <t>Cæ tøc, lîi nhuËn ®­îc ghi nhËn khi C«ng ty ®­îc quyÒn nhËn cæ tøc hoÆc lîi nhuËn tõ viÖc gãp vèn.</t>
  </si>
  <si>
    <t xml:space="preserve">+ TiÒn ký quü cña H§ ®¹i lý </t>
  </si>
  <si>
    <t xml:space="preserve">           KÕ to¸n tæng hîp           gi¸m ®èc tµi chÝnh        tæng gi¸m ®èc c«ng ty</t>
  </si>
  <si>
    <t xml:space="preserve">+ Cã thêi gian thu håi vèn d­íi 01 n¨m hoÆc trong 1 chu kú s¶n xuÊt kinh doanh ®­îc ph©n lo¹i </t>
  </si>
  <si>
    <t>+ Cho kh¸ch hµng vay ng¾n h¹n</t>
  </si>
  <si>
    <t>+ Ph¶i thu néi bé kh¸c (l­¬ng BH)</t>
  </si>
  <si>
    <t>(Theo ph­¬ng ph¸p trùc tiÕp)</t>
  </si>
  <si>
    <t xml:space="preserve">                      §¬n vÞ tÝnh: ®ång VN</t>
  </si>
  <si>
    <t>M·</t>
  </si>
  <si>
    <t>ThuyÕt
minh</t>
  </si>
  <si>
    <t>ChØ tiªu</t>
  </si>
  <si>
    <t>sè</t>
  </si>
  <si>
    <t>I- L­u chuyÓn tiÒn tõ ho¹t ®éng kinh doanh</t>
  </si>
  <si>
    <t>1.TiÒn thu tõ b¸n hµng, CCDV vµ doanh thu kh¸c</t>
  </si>
  <si>
    <t xml:space="preserve">2.TiÒn chi tr¶ cho ng­êi CC hµng ho¸ &amp; dÞch vô </t>
  </si>
  <si>
    <t>3.TiÒn chi tr¶ cho ng­êi lao ®éng</t>
  </si>
  <si>
    <t>03</t>
  </si>
  <si>
    <t>4.TiÒn chi tr¶ l·i vay</t>
  </si>
  <si>
    <t>04</t>
  </si>
  <si>
    <t>5.TiÒn chi nép thuÕ thu nhËp doanh nghiÖp</t>
  </si>
  <si>
    <t>05</t>
  </si>
  <si>
    <t>6.TiÒn thu kh¸c tõ ho¹t ®éng kinh doanh</t>
  </si>
  <si>
    <t>06</t>
  </si>
  <si>
    <t>7.TiÒn chi kh¸c cho ho¹t ®éng kinh doanh</t>
  </si>
  <si>
    <t>07</t>
  </si>
  <si>
    <t>L­u chuyÓn thuÇn tõ ho¹t ®éng SXKD</t>
  </si>
  <si>
    <t>II - L­u chuyÓn tõ ho¹t ®éng ®Çu t­</t>
  </si>
  <si>
    <t>2. TiÒn thu tõ TL, nh­îng b¸n TSC§ &amp; c¸c TSDH #</t>
  </si>
  <si>
    <t>3. TiÒn chi cho vay, mua s¾m c¸c CC nî cña §V #</t>
  </si>
  <si>
    <t>4. TiÒn thu håi cho vay, b¸n l¹i c¸c CC nî cña §V #</t>
  </si>
  <si>
    <t>5. TiÒn chi ®Çu t­ gãp vèn vµo ®¬n vÞ kh¸c</t>
  </si>
  <si>
    <t>6. TiÒn thu håi ®Çu t­ gãp vèn vµo ®¬n vÞ kh¸c</t>
  </si>
  <si>
    <t>7. TiÒn thu l·i vay, cæ tøc vµ lîi nhuËn ®­îc chia</t>
  </si>
  <si>
    <t>L­u chuyÓn thuÇn tõ ho¹t ®éng ®Çu t­</t>
  </si>
  <si>
    <t>III - L­u chuyÓn tiÒn tõ ho¹t ®éng tµi chÝnh</t>
  </si>
  <si>
    <t>1. TiÒn thu tõ p.hµnh CP, nhËn vèn gãp cña CSH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</si>
  <si>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</si>
  <si>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</si>
  <si>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</si>
  <si>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</si>
  <si>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</si>
  <si>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</si>
  <si>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</si>
  <si>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</si>
  <si>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t>TiÒn &amp; t­¬ng ®­¬ng tiÒn cuèi kú (70=50+60+61)</t>
  </si>
  <si>
    <t>VII.34</t>
  </si>
  <si>
    <t xml:space="preserve">           (Ban hµnh theo Q§ sè 15/2006/Q§-BTC</t>
  </si>
  <si>
    <t xml:space="preserve">        MÉu sè B03a-DN</t>
  </si>
  <si>
    <t xml:space="preserve">           ngµy 20/03/2006 cña Bé tr­ëng BTC)</t>
  </si>
  <si>
    <t>1. Niªn ®é kÕ to¸n b¾t ®Çu tõ 01/01/2012 kÕt thóc 31/12/2012</t>
  </si>
  <si>
    <t>+ Chi phÝ s¶n xuÊt kinh doanh dë dang</t>
  </si>
  <si>
    <t>+ Chi phÝ XD nhµ m¸y c¬ khÝ, bÓ thö b¬m CSII</t>
  </si>
  <si>
    <t>+ Chi phÝ mua s¾m, l¾p ®Æt cÇu trôc 5T, 10T</t>
  </si>
  <si>
    <t>+ Mua s¾m, l¾p ®Æt tñ khëi ®éng, hÖ thèng ®iÖn</t>
  </si>
  <si>
    <t>+ D©y truyÒn t¸i sinh c¸t PX §óc</t>
  </si>
  <si>
    <t>+ Chi phÝ chung cña DA "§Çu t­ XD NM CTB HD"</t>
  </si>
  <si>
    <t>+ ThuÕ gi¸ trÞ gia t¨ng t¹i Tp HCM</t>
  </si>
  <si>
    <t>+ PhÝ kiÓm to¸n b¸o c¸o TC n¨m 2011</t>
  </si>
  <si>
    <t>+ C­íc chuyÓn ph¸t nhanh th¸ng 12/11</t>
  </si>
  <si>
    <t>+ L·i vay NH C«ng th­¬ng HD</t>
  </si>
  <si>
    <t>+ PhÝ vËn chuyÓn b¬m theo phô lôc ngµy 28/12/11</t>
  </si>
  <si>
    <t>+ B¶o hiÓm y tÕ</t>
  </si>
  <si>
    <t>+ B¶o hiÓm thÊt nghiÖp</t>
  </si>
  <si>
    <t xml:space="preserve">                        -   TK 3388</t>
  </si>
  <si>
    <t>+ Cæ tøc ph¶i tr¶ n¨m 2011 (20%)</t>
  </si>
  <si>
    <r>
      <t xml:space="preserve">                 C«ng ty CP ChÕ T¹o B¬m h¶I D­¬ng                          </t>
    </r>
    <r>
      <rPr>
        <b/>
        <sz val="10"/>
        <rFont val=".VnTime"/>
        <family val="2"/>
      </rPr>
      <t xml:space="preserve">MÉu sè B03-DN     </t>
    </r>
  </si>
  <si>
    <t xml:space="preserve">           (Ban hµnh theo Q§ sè 15/2006/Q§-BTCngµy 20/3/2006)</t>
  </si>
  <si>
    <t>12 - Chi phÝ x©y dùng c¬ b¶n dë dang</t>
  </si>
  <si>
    <t>13 - §Çu t­ dµi h¹n kh¸c</t>
  </si>
  <si>
    <t>14 - Chi phÝ tr¶ tr­íc dµi h¹n</t>
  </si>
  <si>
    <t>15 - Vay vµ nî ng¾n h¹n</t>
  </si>
  <si>
    <t>16 - ThuÕ vµ c¸c kho¶n ph¶i nép Nhµ n­íc</t>
  </si>
  <si>
    <t>17 -  Chi phÝ ph¶i tr¶</t>
  </si>
  <si>
    <t>18 -  C¸c kho¶n ph¶i tr¶, ph¶i nép ng¾n h¹n kh¸c</t>
  </si>
  <si>
    <t>19 - Ph¶i tr¶ dµi h¹n néi bé</t>
  </si>
  <si>
    <t>20 -  Vay vµ nî dµi h¹n</t>
  </si>
  <si>
    <t>22 -  Vèn chñ së h÷u</t>
  </si>
  <si>
    <t>23 -  Nguån kinh phÝ</t>
  </si>
  <si>
    <t>24 -  Tµi s¶n thuª ngoµi</t>
  </si>
  <si>
    <t>25 -  Tæng doanh thu b¸n hµng vµ cung cÊp dÞch vô</t>
  </si>
  <si>
    <t>26 -  C¸c kho¶n gi¶m trõ doanh thu</t>
  </si>
  <si>
    <t>27 -  Doanh thu thuÇn vÒ b¸n hµng vµ cung cÊp DV</t>
  </si>
  <si>
    <t>28 -  Gi¸ vèn hµng b¸n</t>
  </si>
  <si>
    <t>29 -  Doanh thu ho¹t ®éng tµi chÝnh</t>
  </si>
  <si>
    <t>30 -  Chi phÝ ho¹t ®éng tµi chÝnh</t>
  </si>
  <si>
    <t>31 -  Chi phÝ b¸n hµng</t>
  </si>
  <si>
    <t>32 - Chi phÝ qu¶n lý</t>
  </si>
  <si>
    <t>33 - Chi phÝ s¶n xuÊt KD theo yÕu tè</t>
  </si>
  <si>
    <r>
      <t xml:space="preserve">b¸o c¸o L­u chuyÓn tiÒn tÖ  </t>
    </r>
    <r>
      <rPr>
        <b/>
        <sz val="15"/>
        <rFont val=".VnTime"/>
        <family val="2"/>
      </rPr>
      <t xml:space="preserve"> </t>
    </r>
  </si>
  <si>
    <r>
      <t>¶</t>
    </r>
    <r>
      <rPr>
        <sz val="11"/>
        <rFont val=".VnArial Narrow"/>
        <family val="2"/>
      </rPr>
      <t>nh h­ëng cña thay ®æi TGH§ quy ®æi ngo¹i tÖ</t>
    </r>
  </si>
  <si>
    <t xml:space="preserve">              C«ng ty CP ChÕ T¹o B¬m h¶I D­¬ng</t>
  </si>
  <si>
    <t xml:space="preserve">                                               (Ban hµnh theo Q§ sè 15/2006/Q§-BTC</t>
  </si>
  <si>
    <t xml:space="preserve">                                   MÉu sè B02a-DN</t>
  </si>
  <si>
    <t>+ ThuÕ TNCN nép thõa</t>
  </si>
  <si>
    <t>+ Tr¹m biÕn ¸p 3200 KVA-22/6,3 KV</t>
  </si>
  <si>
    <t>+ Vay ng¾n h¹n Tæng Cty CP TB§ ViÖt Nam</t>
  </si>
  <si>
    <t>+ L·i chªnh lÖch tû gi¸ ngo¹i tÖ</t>
  </si>
  <si>
    <t>+ ChiÕt khÊu b¸n hµng</t>
  </si>
  <si>
    <t>Cho kú ho¹t ®éng tõ 01/04 ®Õn 30/06</t>
  </si>
  <si>
    <t>Luü kÕ</t>
  </si>
  <si>
    <t xml:space="preserve">       Ph¶i thu kh¸c - TK 338 (BHXH, BHYT, BHTN)</t>
  </si>
  <si>
    <t xml:space="preserve">           KÕ to¸n tæng hîp                         gi¸m ®èc tµi chÝnh                          tæng gi¸m ®èc c«ng ty</t>
  </si>
  <si>
    <t xml:space="preserve">             NguyÔn ThÞ Thu Thuû                                Bïi ThÞ LÖ Thuû                                             NguyÔn Träng Nam</t>
  </si>
  <si>
    <t>KÕ to¸n tæng hîp                     gi¸m ®èc tµi chÝnh                     tæng gi¸m ®èc c«ng ty</t>
  </si>
  <si>
    <t xml:space="preserve">  NguyÔn ThÞ Thu Thuû                               Bïi ThÞ LÖ Thuû                                      NguyÔn Träng Nam</t>
  </si>
  <si>
    <t>Luü kÕ tõ ®Çu n¨m</t>
  </si>
  <si>
    <t xml:space="preserve">             NguyÔn ThÞ Thu Thuû                  Bïi ThÞ LÖ Thuû                          NguyÔn Träng Nam                     </t>
  </si>
  <si>
    <t>+ Nhµ ¨n ca t¹m cña C«ng ty t¹i CS II</t>
  </si>
  <si>
    <t xml:space="preserve">+ Nhµ lµm viÖc t¹m khèi v¨n phßng t¹i CS II </t>
  </si>
  <si>
    <t>+ Nhµ vÖ sinh cña khèi v¨n phßng t¹m t¹i CS II</t>
  </si>
  <si>
    <t>2- C¸c kho¶n ®Çu t­ tµi chÝnh ng¾n h¹n</t>
  </si>
  <si>
    <t>Chªnh lÖch tû gi¸ thùc tÕ ph¸t sinh ®­îc kÕt chuyÓn vµo doanh thu hoÆc chi phÝ tµi chÝnh trong n¨m</t>
  </si>
  <si>
    <t>tµi chÝnh</t>
  </si>
  <si>
    <t>dụng và trích khấu hao tài sản cố định</t>
  </si>
  <si>
    <r>
      <t xml:space="preserve">Thùc hiÖn Th«ng t­  203/2009/TT-BTC ngµy 20/10/2009 cña Bé Tµi chÝnh, h­íng </t>
    </r>
    <r>
      <rPr>
        <i/>
        <sz val="12"/>
        <color indexed="12"/>
        <rFont val="Times New Roman"/>
        <family val="1"/>
      </rPr>
      <t xml:space="preserve">dẫn chế độ quản lý, sử </t>
    </r>
  </si>
  <si>
    <t xml:space="preserve">vµo gi¸ trÞ c«ng tr×nh, tµi s¶n, bao gåm c¸c kho¶n l·i tiÒn vay, c¸c kho¶n chiÕt khÊu hoÆc phô  </t>
  </si>
  <si>
    <t>tréi khi ph¸t hµnh tr¸i phiÕu, c¸c kho¶n chi phÝ ph¸t sinh liªn quan tíi qu¸ tr×nh lµm thñ tôc vay.</t>
  </si>
  <si>
    <t>nhËn lµ chi phÝ tr¶ tr­íc ng¾n h¹n</t>
  </si>
  <si>
    <t xml:space="preserve">- C¸c chi phÝ tr¶ tr­íc liªn quan ®Õn chi phÝ s¶n xuÊt kinh doanh n¨m tµi chÝnh hiÖn t¹i ®­îc ghi   </t>
  </si>
  <si>
    <t>dµi h¹n ph©n bæ dÇn vµo kÕt qu¶ ho¹t ®éng kinh doanh:</t>
  </si>
  <si>
    <t xml:space="preserve">- C¸c chi phÝ sau ®©y ®· ph¸t sinh trong n¨m tµi chÝnh nh­ng ®­îc h¹ch to¸n vµo chi phÝ tr¶ tr­íc </t>
  </si>
  <si>
    <r>
      <t>1. ChÕ ®é kÕ to¸n ¸p dông:</t>
    </r>
    <r>
      <rPr>
        <i/>
        <sz val="12"/>
        <color indexed="12"/>
        <rFont val=".VnTime"/>
        <family val="2"/>
      </rPr>
      <t xml:space="preserve"> </t>
    </r>
    <r>
      <rPr>
        <i/>
        <sz val="12"/>
        <color indexed="12"/>
        <rFont val=".VnTimeH"/>
        <family val="2"/>
      </rPr>
      <t>¸</t>
    </r>
    <r>
      <rPr>
        <i/>
        <sz val="12"/>
        <color indexed="12"/>
        <rFont val=".VnTime"/>
        <family val="2"/>
      </rPr>
      <t>p dông chÕ ®é kÕ to¸n ViÖt Nam ban hµnh theo quyÕt ®Þnh sè 15/2006/Q§</t>
    </r>
  </si>
  <si>
    <t xml:space="preserve">-BTC ngµy 20/03/2006, quyÕt ®Þnh sè 244/2009/Q§-BTC ngµy 31/12/2009, LuËt kÕ to¸n  2003, c¸c </t>
  </si>
  <si>
    <t>chuÈn mùc kÕ to¸n ViÖt Nam do Bé Tµi chÝnh ban hµnh c¸c v¨n b¶n h­íng dÉn  thùc hiÖn kÌm theo.</t>
  </si>
  <si>
    <t>4. Nguyªn t¾c ghi nhËn c¸c kho¶n ph¶i thu th­¬ng m¹i vµ ph¶i thu kh¸c</t>
  </si>
  <si>
    <r>
      <t xml:space="preserve">4.1.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</si>
  <si>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4.2. LËp dù phßng ph¶i thu:</t>
  </si>
  <si>
    <t>5. Nguyªn t¾c ghi nhËn vµ khÊu hao bÊt ®éng s¶n ®Çu t­.</t>
  </si>
  <si>
    <t>6. Nguyªn t¾c ghi nhËn c¸c kho¶n ®Çu t­ tµi chÝnh.</t>
  </si>
  <si>
    <t>6.1. Nguyªn t¾c ghi nhËn c¸c kho¶n ®Çu t­ vµo c«ng ty con, c«ng ty liªn kÕt.</t>
  </si>
  <si>
    <t>6.2. Nguyªn t¾c ghi nhËn c¸c kho¶n ®Çu t­ chøng kho¸n ng¾n h¹n, dµi h¹n.</t>
  </si>
  <si>
    <t>6.3. Nguyªn t¾c ghi nhËn c¸c kho¶n ®Çu t­  ng¾n h¹n, dµi h¹n kh¸c.</t>
  </si>
  <si>
    <t>6.4. Ph­¬ng ph¸p lËp dù phßng gi¶m gi¸ ®Çu t­ chøng kho¸n ng¾n h¹n, dµi h¹n.</t>
  </si>
  <si>
    <t>6.5. Ph­¬ng ph¸p ghi nhËn lËp dù phßng b¶o hµnh s¶n phÈm.</t>
  </si>
  <si>
    <t>7. Nguyªn t¾c vèn ho¸ c¸c kho¶n chi phÝ ®i vay vµ c¸c kho¶n chi phÝ kh¸c.</t>
  </si>
  <si>
    <t>7.1. Nguyªn t¾c vèn ho¸ c¸c kho¶n chi phÝ ®i vay.</t>
  </si>
  <si>
    <t>7.2. Tû lÖ vèn ho¸ chi phÝ ®i vay ®­îc sö dông ®Ó x¸c ®Þnh chi phÝ ®i vay ®­îc vèn ho¸ trong kú</t>
  </si>
  <si>
    <t>8. Nguyªn t¾c ghi nhËn vµ vèn ho¸ c¸c kho¶n chi phÝ kh¸c:</t>
  </si>
  <si>
    <t>8.1. Chi phÝ tr¶ tr­íc</t>
  </si>
  <si>
    <t>8.2. Chi phÝ kh¸c</t>
  </si>
  <si>
    <t>8.3. Ph­¬ng ph¸p ph©n bæ chi phÝ tr¶ tr­íc:</t>
  </si>
  <si>
    <t>9. Nguyªn t¾c ghi nhËn chi phÝ tr¶ tr­íc</t>
  </si>
  <si>
    <t>10. Nguyªn t¾c vµ ph­¬ng ph¸p ghi nhËn c¸c kho¶n dù phßng ph¶i tr¶.</t>
  </si>
  <si>
    <t>10.1. Nguyªn t¾c ghi nhËn</t>
  </si>
  <si>
    <t>10.2. Ph­¬ng ph¸p ghi nhËn</t>
  </si>
  <si>
    <t>11. Nguyªn t¾c ghi nhËn vèn chñ së h÷u:</t>
  </si>
  <si>
    <t>12. Nguyªn t¾c vµ ph­¬ng ph¸p ghi nhËn doanh thu:</t>
  </si>
  <si>
    <t>12.1. Doanh thu b¸n hµng vµ cung cÊp dÞch vô ®­îc ghi nhËn khi ®ång thêi tho¶ m·n c¸c ®iÒu kiÖn sau:</t>
  </si>
  <si>
    <t>12.2. Doanh thu ho¹t ®éng tµi chÝnh</t>
  </si>
  <si>
    <t>13. Nguyªn t¾c vµ ph­¬ng ph¸p ghi nhËn chi phÝ tµi chÝnh</t>
  </si>
  <si>
    <t xml:space="preserve">14. Nguyªn t¾c vµ ph­¬ng ph¸p ghi nhËn chi phÝ thuÕ thu nhËp doanh nghiÖp hiÖn hµnh, chi phÝ </t>
  </si>
  <si>
    <t>15. C¸c nghiÖp vô dù phßng rñi ro hèi ®o¸i.</t>
  </si>
  <si>
    <t>16. C¸c nguyªn t¾c vµ ph­¬ng ph¸p kÕ to¸n kh¸c.</t>
  </si>
  <si>
    <t>4 -  Hµng tån kho</t>
  </si>
  <si>
    <t>Vèn chñ së h÷u ®­îc ghi nhËn trªn nguyªn t¾c mÖnh gi¸ vèn ®Çu t­ cæ phÇn vµ thÆng d­ cæ phÇn.</t>
  </si>
  <si>
    <t xml:space="preserve">           KÕ to¸n tæng hîp           gi¸m ®èc tµi chÝnh         tæng gi¸m ®èc c«ng ty</t>
  </si>
  <si>
    <t xml:space="preserve">            NguyÔn ThÞ Thu Thuû                     Bïi ThÞ LÖ Thuû                         NguyÔn Träng Nam</t>
  </si>
  <si>
    <t>+ L·i ký quü c¸c hîp ®ång ®¹i lý</t>
  </si>
  <si>
    <r>
      <t xml:space="preserve">                  Tel: 0320 3844876, Fax: 03203858606, Email: hpmchd@vnn.vn, Website: www.hpmc.com.vn                               </t>
    </r>
    <r>
      <rPr>
        <b/>
        <sz val="9"/>
        <rFont val=".VnArial Narrow"/>
        <family val="2"/>
      </rPr>
      <t xml:space="preserve"> </t>
    </r>
    <r>
      <rPr>
        <i/>
        <sz val="9"/>
        <rFont val=".VnArial Narrow"/>
        <family val="2"/>
      </rPr>
      <t>ngµy 20/03/2006 cña Bé tr­ëng BTC)</t>
    </r>
  </si>
  <si>
    <t xml:space="preserve">2. TiÒn chi tr¶ vèn gãp cho c¸c CSH, mua l¹i CP </t>
  </si>
  <si>
    <t>T¹i ngµy 30 th¸ng 9 n¨m 2012</t>
  </si>
  <si>
    <t>QuÝ III n¨m 2012</t>
  </si>
  <si>
    <t>+ TiÒn thuª ®Êt n¨m 2012</t>
  </si>
  <si>
    <t>+ CÇu trôc ch©n quú 1 tÊn sè 1 NMCK CS II</t>
  </si>
  <si>
    <t>+ CÇu trôc ch©n quú 1 tÊn sè 2 NMCK CS II</t>
  </si>
  <si>
    <t>+ Nhµ nÐn khÝ x­ëng §óc</t>
  </si>
  <si>
    <t>+ Chi phÝ b¸n hµng, chiÕt khÊu TT ®¹i lý Phóc H¶i</t>
  </si>
  <si>
    <t xml:space="preserve">+ L·i vay ph¶i tr¶ Tæng Cty CP TB§ VN </t>
  </si>
  <si>
    <t>+ L·i ph¶i tr¶ tiÒn ký quü cña 02 ®¹i lý</t>
  </si>
  <si>
    <t xml:space="preserve">   H¶i D­¬ng, ngµy  09 th¸ng 10 n¨m 2012</t>
  </si>
  <si>
    <t xml:space="preserve">           H¶i D­¬ng, ngµy 09 th¸ng 10 n¨m 2012</t>
  </si>
  <si>
    <t xml:space="preserve">                               H¶i D­¬ng, ngµy  09 th¸ng 10 n¨m 2012</t>
  </si>
  <si>
    <t>Cho kú ho¹t ®éng tõ 01/07 ®Õn 30/09</t>
  </si>
  <si>
    <t>1. TiÒn chi ®Ó mua s¾m, XD TSC§ vµ c¸c TSDH #</t>
  </si>
  <si>
    <t>H¶i D­¬ng, ngµy  09 th¸ng 10 n¨m 2012</t>
  </si>
  <si>
    <t xml:space="preserve">                 Tel: 0320 3844876, Fax: 03203858606, Email: hpmchd@vnn.vn</t>
  </si>
  <si>
    <t xml:space="preserve">             Sè 37 §¹i lé Hå ChÝ Minh - TP H¶i D­¬ng</t>
  </si>
  <si>
    <t>+ Lç chªnh lÖch tû gi¸ ®· thùc hiÖn</t>
  </si>
  <si>
    <t xml:space="preserve">      H¶i D­¬ng, ngµy  09 th¸ng 10 n¨m 2012</t>
  </si>
  <si>
    <t>dông cô</t>
  </si>
  <si>
    <t>qu¶n lý</t>
  </si>
  <si>
    <t xml:space="preserve">PhÇn mÒm </t>
  </si>
  <si>
    <t>m¸y</t>
  </si>
  <si>
    <t>vi tÝnh</t>
  </si>
  <si>
    <t>Cæ</t>
  </si>
  <si>
    <t>phiÕu</t>
  </si>
  <si>
    <t>quü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</si>
</sst>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\ ###\ ###\ ###"/>
    <numFmt numFmtId="166" formatCode="#,##0;[Red]#,##0"/>
  </numFmts>
  <fonts count="131">
    <font>
      <sz val="10"/>
      <name val="VnBravo Times"/>
      <family val="0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i/>
      <sz val="10"/>
      <color indexed="12"/>
      <name val=".vntime"/>
      <family val="2"/>
    </font>
    <font>
      <b/>
      <sz val="16"/>
      <color indexed="12"/>
      <name val=".VnTimeH"/>
      <family val="2"/>
    </font>
    <font>
      <b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12"/>
      <color indexed="12"/>
      <name val=".VnTime"/>
      <family val="2"/>
    </font>
    <font>
      <i/>
      <sz val="8"/>
      <color indexed="12"/>
      <name val=".VnTime"/>
      <family val="2"/>
    </font>
    <font>
      <b/>
      <i/>
      <sz val="12"/>
      <color indexed="12"/>
      <name val=".VnTime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i/>
      <sz val="11"/>
      <color indexed="12"/>
      <name val=".VnTime"/>
      <family val="2"/>
    </font>
    <font>
      <sz val="8"/>
      <name val="VnBravo Times"/>
      <family val="1"/>
    </font>
    <font>
      <b/>
      <sz val="12"/>
      <color indexed="12"/>
      <name val=".VnArialH"/>
      <family val="2"/>
    </font>
    <font>
      <b/>
      <sz val="18"/>
      <color indexed="12"/>
      <name val=".VnArialH"/>
      <family val="2"/>
    </font>
    <font>
      <b/>
      <sz val="14"/>
      <color indexed="12"/>
      <name val=".VnArialH"/>
      <family val="2"/>
    </font>
    <font>
      <b/>
      <u val="single"/>
      <sz val="10"/>
      <color indexed="12"/>
      <name val=".VnTimeH"/>
      <family val="2"/>
    </font>
    <font>
      <b/>
      <u val="single"/>
      <sz val="12"/>
      <color indexed="12"/>
      <name val=".vntime"/>
      <family val="2"/>
    </font>
    <font>
      <b/>
      <sz val="10"/>
      <color indexed="12"/>
      <name val=".vntime"/>
      <family val="2"/>
    </font>
    <font>
      <sz val="12"/>
      <color indexed="12"/>
      <name val=".VnArialH"/>
      <family val="2"/>
    </font>
    <font>
      <b/>
      <sz val="10"/>
      <name val=".VnArial"/>
      <family val="2"/>
    </font>
    <font>
      <b/>
      <sz val="12"/>
      <name val=".VnTimeH"/>
      <family val="2"/>
    </font>
    <font>
      <i/>
      <sz val="9"/>
      <name val=".VnTime"/>
      <family val="2"/>
    </font>
    <font>
      <b/>
      <sz val="12"/>
      <name val=".vntime"/>
      <family val="2"/>
    </font>
    <font>
      <b/>
      <sz val="12"/>
      <name val=".VnArial Narrow"/>
      <family val="2"/>
    </font>
    <font>
      <sz val="12"/>
      <name val=".VnArial Narrow"/>
      <family val="2"/>
    </font>
    <font>
      <b/>
      <u val="single"/>
      <sz val="12"/>
      <color indexed="12"/>
      <name val=".VnArial"/>
      <family val="2"/>
    </font>
    <font>
      <b/>
      <sz val="11"/>
      <color indexed="12"/>
      <name val=".VnTimeH"/>
      <family val="2"/>
    </font>
    <font>
      <b/>
      <sz val="11"/>
      <color indexed="12"/>
      <name val=".VnBook-AntiquaH"/>
      <family val="2"/>
    </font>
    <font>
      <u val="single"/>
      <sz val="12"/>
      <color indexed="12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"/>
      <family val="2"/>
    </font>
    <font>
      <b/>
      <sz val="12"/>
      <color indexed="12"/>
      <name val=".VnArial Narrow"/>
      <family val="2"/>
    </font>
    <font>
      <b/>
      <sz val="8"/>
      <name val=".vntime"/>
      <family val="2"/>
    </font>
    <font>
      <b/>
      <sz val="10"/>
      <name val=".VnTime"/>
      <family val="2"/>
    </font>
    <font>
      <i/>
      <sz val="12"/>
      <color indexed="12"/>
      <name val=".VnTimeH"/>
      <family val="2"/>
    </font>
    <font>
      <i/>
      <sz val="12"/>
      <color indexed="12"/>
      <name val="Times New Roman"/>
      <family val="1"/>
    </font>
    <font>
      <b/>
      <sz val="10"/>
      <name val="VnBravo Times"/>
      <family val="1"/>
    </font>
    <font>
      <b/>
      <u val="single"/>
      <sz val="11.5"/>
      <color indexed="12"/>
      <name val=".vntime"/>
      <family val="2"/>
    </font>
    <font>
      <sz val="11.5"/>
      <color indexed="12"/>
      <name val=".VnTime"/>
      <family val="2"/>
    </font>
    <font>
      <b/>
      <sz val="11.5"/>
      <color indexed="12"/>
      <name val=".vntime"/>
      <family val="2"/>
    </font>
    <font>
      <b/>
      <i/>
      <sz val="11.5"/>
      <color indexed="12"/>
      <name val=".VnTime"/>
      <family val="2"/>
    </font>
    <font>
      <i/>
      <sz val="11.5"/>
      <color indexed="12"/>
      <name val=".VnTime"/>
      <family val="2"/>
    </font>
    <font>
      <b/>
      <i/>
      <u val="single"/>
      <sz val="11.5"/>
      <color indexed="12"/>
      <name val=".vntime"/>
      <family val="2"/>
    </font>
    <font>
      <b/>
      <u val="single"/>
      <sz val="11"/>
      <color indexed="12"/>
      <name val=".VnTimeH"/>
      <family val="2"/>
    </font>
    <font>
      <b/>
      <u val="single"/>
      <sz val="10.5"/>
      <color indexed="12"/>
      <name val=".VnTimeH"/>
      <family val="2"/>
    </font>
    <font>
      <b/>
      <u val="single"/>
      <sz val="11"/>
      <color indexed="12"/>
      <name val=".vntime"/>
      <family val="2"/>
    </font>
    <font>
      <b/>
      <i/>
      <sz val="11"/>
      <color indexed="12"/>
      <name val=".VnTime"/>
      <family val="2"/>
    </font>
    <font>
      <b/>
      <i/>
      <u val="single"/>
      <sz val="11"/>
      <color indexed="12"/>
      <name val=".vntime"/>
      <family val="2"/>
    </font>
    <font>
      <b/>
      <sz val="10.5"/>
      <name val=".VnArial Narrow"/>
      <family val="2"/>
    </font>
    <font>
      <sz val="12"/>
      <color indexed="10"/>
      <name val=".VnTime"/>
      <family val="2"/>
    </font>
    <font>
      <b/>
      <sz val="14"/>
      <color indexed="12"/>
      <name val=".VnArial Narrow"/>
      <family val="2"/>
    </font>
    <font>
      <sz val="14"/>
      <color indexed="12"/>
      <name val=".VnTime"/>
      <family val="2"/>
    </font>
    <font>
      <i/>
      <sz val="14"/>
      <color indexed="12"/>
      <name val=".VnTime"/>
      <family val="2"/>
    </font>
    <font>
      <b/>
      <sz val="13"/>
      <color indexed="12"/>
      <name val=".VnArial Narrow"/>
      <family val="2"/>
    </font>
    <font>
      <b/>
      <sz val="13"/>
      <color indexed="12"/>
      <name val=".VnTime"/>
      <family val="2"/>
    </font>
    <font>
      <i/>
      <sz val="10.5"/>
      <name val=".VnTime"/>
      <family val="2"/>
    </font>
    <font>
      <sz val="10"/>
      <name val=".VnTime"/>
      <family val="2"/>
    </font>
    <font>
      <i/>
      <sz val="11"/>
      <name val=".VnArial"/>
      <family val="2"/>
    </font>
    <font>
      <b/>
      <sz val="8"/>
      <name val=".VnArial Narrow"/>
      <family val="2"/>
    </font>
    <font>
      <sz val="10"/>
      <name val=".VnAvant"/>
      <family val="2"/>
    </font>
    <font>
      <sz val="10.5"/>
      <name val=".VnAvant"/>
      <family val="2"/>
    </font>
    <font>
      <sz val="11"/>
      <name val=".VnArial NarrowH"/>
      <family val="2"/>
    </font>
    <font>
      <sz val="10.5"/>
      <color indexed="12"/>
      <name val=".VnTime"/>
      <family val="2"/>
    </font>
    <font>
      <sz val="11"/>
      <name val=".VnArial Narrow"/>
      <family val="2"/>
    </font>
    <font>
      <b/>
      <i/>
      <sz val="11"/>
      <color indexed="10"/>
      <name val=".VnArial Narrow"/>
      <family val="2"/>
    </font>
    <font>
      <b/>
      <sz val="11"/>
      <color indexed="10"/>
      <name val=".VnArial Narrow"/>
      <family val="2"/>
    </font>
    <font>
      <b/>
      <sz val="11"/>
      <color indexed="12"/>
      <name val=".VnArial Narrow"/>
      <family val="2"/>
    </font>
    <font>
      <b/>
      <sz val="10"/>
      <name val=".VnArial Narrow"/>
      <family val="2"/>
    </font>
    <font>
      <b/>
      <sz val="10.5"/>
      <color indexed="10"/>
      <name val=".VnArial"/>
      <family val="2"/>
    </font>
    <font>
      <sz val="10.5"/>
      <name val=".VnArial"/>
      <family val="2"/>
    </font>
    <font>
      <b/>
      <sz val="15"/>
      <name val=".VnTimeH"/>
      <family val="2"/>
    </font>
    <font>
      <b/>
      <sz val="15"/>
      <name val=".VnTime"/>
      <family val="2"/>
    </font>
    <font>
      <b/>
      <sz val="9"/>
      <name val=".VnArial Narrow"/>
      <family val="2"/>
    </font>
    <font>
      <i/>
      <sz val="9"/>
      <name val=".VnArial Narrow"/>
      <family val="2"/>
    </font>
    <font>
      <b/>
      <sz val="12"/>
      <color indexed="12"/>
      <name val=".VnTimeH"/>
      <family val="2"/>
    </font>
    <font>
      <sz val="13"/>
      <color indexed="12"/>
      <name val=".VnArial Narrow"/>
      <family val="2"/>
    </font>
    <font>
      <i/>
      <sz val="13"/>
      <color indexed="12"/>
      <name val=".VnArial Narrow"/>
      <family val="2"/>
    </font>
    <font>
      <sz val="10"/>
      <name val=".VnArial"/>
      <family val="2"/>
    </font>
    <font>
      <b/>
      <sz val="10"/>
      <color indexed="10"/>
      <name val=".VnArial"/>
      <family val="2"/>
    </font>
    <font>
      <b/>
      <sz val="10"/>
      <color indexed="12"/>
      <name val=".VnArial"/>
      <family val="2"/>
    </font>
    <font>
      <sz val="9.5"/>
      <name val=".VnArial"/>
      <family val="2"/>
    </font>
    <font>
      <b/>
      <sz val="9.5"/>
      <color indexed="10"/>
      <name val=".VnArial"/>
      <family val="2"/>
    </font>
    <font>
      <b/>
      <sz val="9.5"/>
      <name val=".VnArial"/>
      <family val="2"/>
    </font>
    <font>
      <b/>
      <sz val="9.5"/>
      <color indexed="12"/>
      <name val=".VnArial"/>
      <family val="2"/>
    </font>
    <font>
      <sz val="9"/>
      <name val=".VnArial"/>
      <family val="2"/>
    </font>
    <font>
      <b/>
      <sz val="9"/>
      <color indexed="10"/>
      <name val=".VnArial"/>
      <family val="2"/>
    </font>
    <font>
      <b/>
      <sz val="9"/>
      <name val=".VnArial"/>
      <family val="2"/>
    </font>
    <font>
      <b/>
      <u val="single"/>
      <sz val="9"/>
      <name val=".VnArial"/>
      <family val="2"/>
    </font>
    <font>
      <b/>
      <u val="single"/>
      <sz val="9"/>
      <color indexed="12"/>
      <name val=".VnArial"/>
      <family val="2"/>
    </font>
    <font>
      <b/>
      <sz val="12"/>
      <color indexed="10"/>
      <name val=".VnTime"/>
      <family val="2"/>
    </font>
    <font>
      <sz val="12.5"/>
      <color indexed="12"/>
      <name val=".VnArial Narrow"/>
      <family val="2"/>
    </font>
    <font>
      <i/>
      <sz val="12.5"/>
      <color indexed="12"/>
      <name val=".VnArial Narrow"/>
      <family val="2"/>
    </font>
    <font>
      <b/>
      <i/>
      <sz val="10"/>
      <name val=".VnArial"/>
      <family val="2"/>
    </font>
    <font>
      <b/>
      <sz val="11"/>
      <name val=".VnTimeH"/>
      <family val="2"/>
    </font>
    <font>
      <i/>
      <sz val="8"/>
      <name val=".VnArial"/>
      <family val="2"/>
    </font>
    <font>
      <sz val="10"/>
      <color indexed="8"/>
      <name val="VnBravo Times"/>
      <family val="2"/>
    </font>
    <font>
      <sz val="10"/>
      <color indexed="9"/>
      <name val="VnBravo Times"/>
      <family val="2"/>
    </font>
    <font>
      <sz val="10"/>
      <color indexed="20"/>
      <name val="VnBravo Times"/>
      <family val="2"/>
    </font>
    <font>
      <b/>
      <sz val="10"/>
      <color indexed="52"/>
      <name val="VnBravo Times"/>
      <family val="2"/>
    </font>
    <font>
      <b/>
      <sz val="10"/>
      <color indexed="9"/>
      <name val="VnBravo Times"/>
      <family val="2"/>
    </font>
    <font>
      <i/>
      <sz val="10"/>
      <color indexed="23"/>
      <name val="VnBravo Times"/>
      <family val="2"/>
    </font>
    <font>
      <sz val="10"/>
      <color indexed="17"/>
      <name val="VnBravo Times"/>
      <family val="2"/>
    </font>
    <font>
      <b/>
      <sz val="15"/>
      <color indexed="56"/>
      <name val="VnBravo Times"/>
      <family val="2"/>
    </font>
    <font>
      <b/>
      <sz val="13"/>
      <color indexed="56"/>
      <name val="VnBravo Times"/>
      <family val="2"/>
    </font>
    <font>
      <b/>
      <sz val="11"/>
      <color indexed="56"/>
      <name val="VnBravo Times"/>
      <family val="2"/>
    </font>
    <font>
      <sz val="10"/>
      <color indexed="62"/>
      <name val="VnBravo Times"/>
      <family val="2"/>
    </font>
    <font>
      <sz val="10"/>
      <color indexed="52"/>
      <name val="VnBravo Times"/>
      <family val="2"/>
    </font>
    <font>
      <sz val="10"/>
      <color indexed="60"/>
      <name val="VnBravo Times"/>
      <family val="2"/>
    </font>
    <font>
      <b/>
      <sz val="10"/>
      <color indexed="63"/>
      <name val="VnBravo Times"/>
      <family val="2"/>
    </font>
    <font>
      <b/>
      <sz val="18"/>
      <color indexed="56"/>
      <name val="Cambria"/>
      <family val="2"/>
    </font>
    <font>
      <b/>
      <sz val="10"/>
      <color indexed="8"/>
      <name val="VnBravo Times"/>
      <family val="2"/>
    </font>
    <font>
      <sz val="10"/>
      <color indexed="10"/>
      <name val="VnBravo Times"/>
      <family val="2"/>
    </font>
    <font>
      <sz val="10"/>
      <color theme="1"/>
      <name val="VnBravo Times"/>
      <family val="2"/>
    </font>
    <font>
      <sz val="10"/>
      <color theme="0"/>
      <name val="VnBravo Times"/>
      <family val="2"/>
    </font>
    <font>
      <sz val="10"/>
      <color rgb="FF9C0006"/>
      <name val="VnBravo Times"/>
      <family val="2"/>
    </font>
    <font>
      <b/>
      <sz val="10"/>
      <color rgb="FFFA7D00"/>
      <name val="VnBravo Times"/>
      <family val="2"/>
    </font>
    <font>
      <b/>
      <sz val="10"/>
      <color theme="0"/>
      <name val="VnBravo Times"/>
      <family val="2"/>
    </font>
    <font>
      <i/>
      <sz val="10"/>
      <color rgb="FF7F7F7F"/>
      <name val="VnBravo Times"/>
      <family val="2"/>
    </font>
    <font>
      <sz val="10"/>
      <color rgb="FF006100"/>
      <name val="VnBravo Times"/>
      <family val="2"/>
    </font>
    <font>
      <b/>
      <sz val="15"/>
      <color theme="3"/>
      <name val="VnBravo Times"/>
      <family val="2"/>
    </font>
    <font>
      <b/>
      <sz val="13"/>
      <color theme="3"/>
      <name val="VnBravo Times"/>
      <family val="2"/>
    </font>
    <font>
      <b/>
      <sz val="11"/>
      <color theme="3"/>
      <name val="VnBravo Times"/>
      <family val="2"/>
    </font>
    <font>
      <sz val="10"/>
      <color rgb="FF3F3F76"/>
      <name val="VnBravo Times"/>
      <family val="2"/>
    </font>
    <font>
      <sz val="10"/>
      <color rgb="FFFA7D00"/>
      <name val="VnBravo Times"/>
      <family val="2"/>
    </font>
    <font>
      <sz val="10"/>
      <color rgb="FF9C6500"/>
      <name val="VnBravo Times"/>
      <family val="2"/>
    </font>
    <font>
      <b/>
      <sz val="10"/>
      <color rgb="FF3F3F3F"/>
      <name val="VnBravo Times"/>
      <family val="2"/>
    </font>
    <font>
      <b/>
      <sz val="18"/>
      <color theme="3"/>
      <name val="Cambria"/>
      <family val="2"/>
    </font>
    <font>
      <b/>
      <sz val="10"/>
      <color theme="1"/>
      <name val="VnBravo Times"/>
      <family val="2"/>
    </font>
    <font>
      <sz val="10"/>
      <color rgb="FFFF0000"/>
      <name val="VnBravo 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0" applyNumberFormat="0" applyBorder="0" applyAlignment="0" applyProtection="0"/>
    <xf numFmtId="0" fontId="117" fillId="27" borderId="1" applyNumberFormat="0" applyAlignment="0" applyProtection="0"/>
    <xf numFmtId="0" fontId="11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29" borderId="0" applyNumberFormat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30" borderId="1" applyNumberFormat="0" applyAlignment="0" applyProtection="0"/>
    <xf numFmtId="0" fontId="125" fillId="0" borderId="6" applyNumberFormat="0" applyFill="0" applyAlignment="0" applyProtection="0"/>
    <xf numFmtId="0" fontId="126" fillId="31" borderId="0" applyNumberFormat="0" applyBorder="0" applyAlignment="0" applyProtection="0"/>
    <xf numFmtId="0" fontId="0" fillId="32" borderId="7" applyNumberFormat="0" applyFont="0" applyAlignment="0" applyProtection="0"/>
    <xf numFmtId="0" fontId="127" fillId="27" borderId="8" applyNumberFormat="0" applyAlignment="0" applyProtection="0"/>
    <xf numFmtId="9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1" fillId="0" borderId="16" xfId="0" applyNumberFormat="1" applyFont="1" applyBorder="1" applyAlignment="1" quotePrefix="1">
      <alignment/>
    </xf>
    <xf numFmtId="3" fontId="1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7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Border="1" applyAlignment="1" quotePrefix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 quotePrefix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2" fillId="0" borderId="0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 quotePrefix="1">
      <alignment/>
    </xf>
    <xf numFmtId="3" fontId="1" fillId="0" borderId="21" xfId="0" applyNumberFormat="1" applyFont="1" applyBorder="1" applyAlignment="1">
      <alignment/>
    </xf>
    <xf numFmtId="3" fontId="1" fillId="0" borderId="11" xfId="0" applyNumberFormat="1" applyFont="1" applyBorder="1" applyAlignment="1" quotePrefix="1">
      <alignment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 quotePrefix="1">
      <alignment/>
    </xf>
    <xf numFmtId="3" fontId="1" fillId="0" borderId="26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12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19" xfId="0" applyNumberFormat="1" applyFont="1" applyBorder="1" applyAlignment="1" quotePrefix="1">
      <alignment/>
    </xf>
    <xf numFmtId="3" fontId="2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7" fillId="0" borderId="16" xfId="0" applyNumberFormat="1" applyFont="1" applyBorder="1" applyAlignment="1" quotePrefix="1">
      <alignment/>
    </xf>
    <xf numFmtId="3" fontId="9" fillId="0" borderId="16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 quotePrefix="1">
      <alignment/>
    </xf>
    <xf numFmtId="3" fontId="2" fillId="0" borderId="17" xfId="0" applyNumberFormat="1" applyFont="1" applyBorder="1" applyAlignment="1" quotePrefix="1">
      <alignment/>
    </xf>
    <xf numFmtId="3" fontId="2" fillId="0" borderId="0" xfId="0" applyNumberFormat="1" applyFont="1" applyBorder="1" applyAlignment="1" quotePrefix="1">
      <alignment/>
    </xf>
    <xf numFmtId="3" fontId="2" fillId="0" borderId="13" xfId="0" applyNumberFormat="1" applyFont="1" applyBorder="1" applyAlignment="1" quotePrefix="1">
      <alignment/>
    </xf>
    <xf numFmtId="3" fontId="2" fillId="0" borderId="14" xfId="0" applyNumberFormat="1" applyFont="1" applyBorder="1" applyAlignment="1" quotePrefix="1">
      <alignment horizontal="center"/>
    </xf>
    <xf numFmtId="3" fontId="9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 horizontal="center"/>
    </xf>
    <xf numFmtId="3" fontId="7" fillId="0" borderId="11" xfId="0" applyNumberFormat="1" applyFont="1" applyBorder="1" applyAlignment="1" quotePrefix="1">
      <alignment/>
    </xf>
    <xf numFmtId="3" fontId="7" fillId="0" borderId="12" xfId="0" applyNumberFormat="1" applyFont="1" applyBorder="1" applyAlignment="1" quotePrefix="1">
      <alignment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/>
    </xf>
    <xf numFmtId="3" fontId="1" fillId="0" borderId="36" xfId="0" applyNumberFormat="1" applyFont="1" applyBorder="1" applyAlignment="1" quotePrefix="1">
      <alignment/>
    </xf>
    <xf numFmtId="3" fontId="1" fillId="0" borderId="17" xfId="0" applyNumberFormat="1" applyFont="1" applyBorder="1" applyAlignment="1" quotePrefix="1">
      <alignment/>
    </xf>
    <xf numFmtId="3" fontId="2" fillId="0" borderId="30" xfId="0" applyNumberFormat="1" applyFont="1" applyBorder="1" applyAlignment="1">
      <alignment/>
    </xf>
    <xf numFmtId="3" fontId="1" fillId="0" borderId="32" xfId="0" applyNumberFormat="1" applyFont="1" applyBorder="1" applyAlignment="1" quotePrefix="1">
      <alignment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3" fontId="31" fillId="0" borderId="14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3" fontId="2" fillId="0" borderId="11" xfId="0" applyNumberFormat="1" applyFont="1" applyBorder="1" applyAlignment="1" quotePrefix="1">
      <alignment/>
    </xf>
    <xf numFmtId="3" fontId="9" fillId="0" borderId="2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 quotePrefix="1">
      <alignment/>
    </xf>
    <xf numFmtId="3" fontId="1" fillId="0" borderId="38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3" fontId="15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164" fontId="22" fillId="0" borderId="0" xfId="0" applyNumberFormat="1" applyFont="1" applyAlignment="1">
      <alignment horizontal="left"/>
    </xf>
    <xf numFmtId="164" fontId="25" fillId="0" borderId="0" xfId="0" applyNumberFormat="1" applyFont="1" applyAlignment="1">
      <alignment/>
    </xf>
    <xf numFmtId="3" fontId="1" fillId="0" borderId="33" xfId="0" applyNumberFormat="1" applyFont="1" applyBorder="1" applyAlignment="1">
      <alignment/>
    </xf>
    <xf numFmtId="3" fontId="1" fillId="0" borderId="14" xfId="0" applyNumberFormat="1" applyFont="1" applyBorder="1" applyAlignment="1" quotePrefix="1">
      <alignment/>
    </xf>
    <xf numFmtId="3" fontId="23" fillId="0" borderId="0" xfId="0" applyNumberFormat="1" applyFont="1" applyAlignment="1">
      <alignment/>
    </xf>
    <xf numFmtId="3" fontId="23" fillId="0" borderId="18" xfId="0" applyNumberFormat="1" applyFont="1" applyBorder="1" applyAlignment="1">
      <alignment/>
    </xf>
    <xf numFmtId="164" fontId="35" fillId="0" borderId="18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18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21" xfId="0" applyNumberFormat="1" applyFont="1" applyBorder="1" applyAlignment="1">
      <alignment wrapText="1"/>
    </xf>
    <xf numFmtId="3" fontId="7" fillId="0" borderId="25" xfId="0" applyNumberFormat="1" applyFont="1" applyBorder="1" applyAlignment="1" quotePrefix="1">
      <alignment/>
    </xf>
    <xf numFmtId="3" fontId="26" fillId="0" borderId="18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39" fillId="0" borderId="10" xfId="0" applyNumberFormat="1" applyFont="1" applyBorder="1" applyAlignment="1">
      <alignment horizontal="right"/>
    </xf>
    <xf numFmtId="3" fontId="40" fillId="0" borderId="0" xfId="0" applyNumberFormat="1" applyFont="1" applyAlignment="1">
      <alignment/>
    </xf>
    <xf numFmtId="3" fontId="42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3" fontId="42" fillId="0" borderId="12" xfId="0" applyNumberFormat="1" applyFont="1" applyBorder="1" applyAlignment="1">
      <alignment/>
    </xf>
    <xf numFmtId="3" fontId="42" fillId="0" borderId="34" xfId="0" applyNumberFormat="1" applyFont="1" applyBorder="1" applyAlignment="1">
      <alignment/>
    </xf>
    <xf numFmtId="3" fontId="44" fillId="0" borderId="40" xfId="0" applyNumberFormat="1" applyFont="1" applyBorder="1" applyAlignment="1">
      <alignment/>
    </xf>
    <xf numFmtId="3" fontId="41" fillId="0" borderId="14" xfId="0" applyNumberFormat="1" applyFont="1" applyBorder="1" applyAlignment="1">
      <alignment horizontal="center"/>
    </xf>
    <xf numFmtId="3" fontId="44" fillId="0" borderId="14" xfId="0" applyNumberFormat="1" applyFont="1" applyBorder="1" applyAlignment="1">
      <alignment/>
    </xf>
    <xf numFmtId="3" fontId="31" fillId="0" borderId="13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right"/>
    </xf>
    <xf numFmtId="3" fontId="31" fillId="0" borderId="16" xfId="0" applyNumberFormat="1" applyFont="1" applyBorder="1" applyAlignment="1">
      <alignment/>
    </xf>
    <xf numFmtId="3" fontId="31" fillId="0" borderId="11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/>
    </xf>
    <xf numFmtId="3" fontId="32" fillId="0" borderId="16" xfId="0" applyNumberFormat="1" applyFont="1" applyBorder="1" applyAlignment="1">
      <alignment/>
    </xf>
    <xf numFmtId="3" fontId="32" fillId="0" borderId="11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/>
    </xf>
    <xf numFmtId="37" fontId="32" fillId="0" borderId="11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47" fillId="0" borderId="11" xfId="0" applyNumberFormat="1" applyFont="1" applyBorder="1" applyAlignment="1">
      <alignment horizontal="center"/>
    </xf>
    <xf numFmtId="3" fontId="47" fillId="0" borderId="11" xfId="0" applyNumberFormat="1" applyFont="1" applyBorder="1" applyAlignment="1">
      <alignment/>
    </xf>
    <xf numFmtId="3" fontId="31" fillId="0" borderId="16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37" fontId="12" fillId="0" borderId="11" xfId="0" applyNumberFormat="1" applyFont="1" applyBorder="1" applyAlignment="1">
      <alignment/>
    </xf>
    <xf numFmtId="3" fontId="32" fillId="0" borderId="16" xfId="0" applyNumberFormat="1" applyFont="1" applyBorder="1" applyAlignment="1" quotePrefix="1">
      <alignment/>
    </xf>
    <xf numFmtId="3" fontId="48" fillId="0" borderId="11" xfId="0" applyNumberFormat="1" applyFont="1" applyBorder="1" applyAlignment="1">
      <alignment horizontal="center"/>
    </xf>
    <xf numFmtId="3" fontId="48" fillId="0" borderId="11" xfId="0" applyNumberFormat="1" applyFont="1" applyBorder="1" applyAlignment="1">
      <alignment/>
    </xf>
    <xf numFmtId="3" fontId="32" fillId="0" borderId="17" xfId="0" applyNumberFormat="1" applyFont="1" applyBorder="1" applyAlignment="1">
      <alignment/>
    </xf>
    <xf numFmtId="3" fontId="32" fillId="0" borderId="26" xfId="0" applyNumberFormat="1" applyFont="1" applyBorder="1" applyAlignment="1">
      <alignment horizontal="center"/>
    </xf>
    <xf numFmtId="3" fontId="48" fillId="0" borderId="26" xfId="0" applyNumberFormat="1" applyFont="1" applyBorder="1" applyAlignment="1">
      <alignment horizontal="center"/>
    </xf>
    <xf numFmtId="3" fontId="48" fillId="0" borderId="26" xfId="0" applyNumberFormat="1" applyFont="1" applyBorder="1" applyAlignment="1">
      <alignment/>
    </xf>
    <xf numFmtId="3" fontId="47" fillId="0" borderId="13" xfId="0" applyNumberFormat="1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7" fillId="0" borderId="14" xfId="0" applyNumberFormat="1" applyFont="1" applyBorder="1" applyAlignment="1">
      <alignment/>
    </xf>
    <xf numFmtId="3" fontId="47" fillId="0" borderId="0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/>
    </xf>
    <xf numFmtId="3" fontId="47" fillId="0" borderId="32" xfId="0" applyNumberFormat="1" applyFont="1" applyBorder="1" applyAlignment="1">
      <alignment horizontal="left"/>
    </xf>
    <xf numFmtId="3" fontId="31" fillId="0" borderId="10" xfId="0" applyNumberFormat="1" applyFont="1" applyBorder="1" applyAlignment="1">
      <alignment horizontal="center"/>
    </xf>
    <xf numFmtId="3" fontId="47" fillId="0" borderId="16" xfId="0" applyNumberFormat="1" applyFont="1" applyBorder="1" applyAlignment="1">
      <alignment horizontal="left"/>
    </xf>
    <xf numFmtId="3" fontId="47" fillId="0" borderId="14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32" fillId="0" borderId="0" xfId="0" applyNumberFormat="1" applyFont="1" applyAlignment="1">
      <alignment horizontal="center"/>
    </xf>
    <xf numFmtId="3" fontId="12" fillId="0" borderId="4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46" fillId="0" borderId="32" xfId="0" applyNumberFormat="1" applyFont="1" applyBorder="1" applyAlignment="1">
      <alignment horizontal="left"/>
    </xf>
    <xf numFmtId="164" fontId="50" fillId="0" borderId="18" xfId="0" applyNumberFormat="1" applyFont="1" applyBorder="1" applyAlignment="1">
      <alignment/>
    </xf>
    <xf numFmtId="3" fontId="51" fillId="0" borderId="21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3" fontId="51" fillId="0" borderId="24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3" fontId="1" fillId="0" borderId="32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/>
    </xf>
    <xf numFmtId="3" fontId="1" fillId="0" borderId="28" xfId="0" applyNumberFormat="1" applyFont="1" applyBorder="1" applyAlignment="1">
      <alignment horizontal="center"/>
    </xf>
    <xf numFmtId="3" fontId="1" fillId="0" borderId="11" xfId="0" applyNumberFormat="1" applyFont="1" applyBorder="1" applyAlignment="1" quotePrefix="1">
      <alignment horizontal="left"/>
    </xf>
    <xf numFmtId="3" fontId="2" fillId="0" borderId="13" xfId="0" applyNumberFormat="1" applyFont="1" applyBorder="1" applyAlignment="1">
      <alignment horizontal="right"/>
    </xf>
    <xf numFmtId="3" fontId="1" fillId="0" borderId="32" xfId="0" applyNumberFormat="1" applyFont="1" applyBorder="1" applyAlignment="1" quotePrefix="1">
      <alignment horizontal="center"/>
    </xf>
    <xf numFmtId="3" fontId="1" fillId="0" borderId="16" xfId="0" applyNumberFormat="1" applyFont="1" applyBorder="1" applyAlignment="1" quotePrefix="1">
      <alignment horizontal="center"/>
    </xf>
    <xf numFmtId="3" fontId="7" fillId="0" borderId="16" xfId="0" applyNumberFormat="1" applyFont="1" applyBorder="1" applyAlignment="1">
      <alignment horizontal="right"/>
    </xf>
    <xf numFmtId="3" fontId="28" fillId="0" borderId="0" xfId="0" applyNumberFormat="1" applyFont="1" applyAlignment="1">
      <alignment/>
    </xf>
    <xf numFmtId="3" fontId="52" fillId="0" borderId="15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3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3" fillId="0" borderId="0" xfId="0" applyNumberFormat="1" applyFont="1" applyAlignment="1">
      <alignment horizontal="center"/>
    </xf>
    <xf numFmtId="3" fontId="54" fillId="0" borderId="0" xfId="0" applyNumberFormat="1" applyFont="1" applyBorder="1" applyAlignment="1">
      <alignment/>
    </xf>
    <xf numFmtId="3" fontId="54" fillId="0" borderId="41" xfId="0" applyNumberFormat="1" applyFont="1" applyBorder="1" applyAlignment="1">
      <alignment/>
    </xf>
    <xf numFmtId="3" fontId="56" fillId="0" borderId="0" xfId="0" applyNumberFormat="1" applyFont="1" applyAlignment="1">
      <alignment/>
    </xf>
    <xf numFmtId="3" fontId="31" fillId="0" borderId="0" xfId="0" applyNumberFormat="1" applyFont="1" applyAlignment="1">
      <alignment horizontal="left"/>
    </xf>
    <xf numFmtId="164" fontId="58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4" fontId="59" fillId="0" borderId="0" xfId="0" applyNumberFormat="1" applyFont="1" applyAlignment="1">
      <alignment horizontal="center"/>
    </xf>
    <xf numFmtId="164" fontId="25" fillId="0" borderId="30" xfId="0" applyNumberFormat="1" applyFont="1" applyBorder="1" applyAlignment="1">
      <alignment horizontal="center" vertical="center"/>
    </xf>
    <xf numFmtId="3" fontId="25" fillId="0" borderId="40" xfId="0" applyNumberFormat="1" applyFont="1" applyBorder="1" applyAlignment="1">
      <alignment horizontal="center" wrapText="1"/>
    </xf>
    <xf numFmtId="164" fontId="25" fillId="0" borderId="15" xfId="0" applyNumberFormat="1" applyFont="1" applyBorder="1" applyAlignment="1">
      <alignment horizontal="center" vertical="center"/>
    </xf>
    <xf numFmtId="3" fontId="25" fillId="0" borderId="35" xfId="0" applyNumberFormat="1" applyFont="1" applyBorder="1" applyAlignment="1">
      <alignment horizontal="center" wrapText="1"/>
    </xf>
    <xf numFmtId="3" fontId="61" fillId="0" borderId="1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164" fontId="65" fillId="0" borderId="16" xfId="57" applyNumberFormat="1" applyFont="1" applyBorder="1" applyAlignment="1">
      <alignment/>
    </xf>
    <xf numFmtId="164" fontId="66" fillId="0" borderId="16" xfId="57" applyNumberFormat="1" applyFont="1" applyBorder="1" applyAlignment="1">
      <alignment/>
    </xf>
    <xf numFmtId="164" fontId="67" fillId="0" borderId="16" xfId="57" applyNumberFormat="1" applyFont="1" applyBorder="1" applyAlignment="1">
      <alignment/>
    </xf>
    <xf numFmtId="164" fontId="68" fillId="0" borderId="17" xfId="57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4" fontId="69" fillId="0" borderId="18" xfId="0" applyNumberFormat="1" applyFont="1" applyBorder="1" applyAlignment="1">
      <alignment/>
    </xf>
    <xf numFmtId="37" fontId="7" fillId="0" borderId="16" xfId="0" applyNumberFormat="1" applyFont="1" applyBorder="1" applyAlignment="1">
      <alignment/>
    </xf>
    <xf numFmtId="37" fontId="9" fillId="0" borderId="16" xfId="0" applyNumberFormat="1" applyFont="1" applyBorder="1" applyAlignment="1">
      <alignment/>
    </xf>
    <xf numFmtId="3" fontId="31" fillId="0" borderId="0" xfId="0" applyNumberFormat="1" applyFont="1" applyAlignment="1">
      <alignment horizontal="center"/>
    </xf>
    <xf numFmtId="3" fontId="1" fillId="0" borderId="28" xfId="0" applyNumberFormat="1" applyFont="1" applyBorder="1" applyAlignment="1" quotePrefix="1">
      <alignment/>
    </xf>
    <xf numFmtId="3" fontId="1" fillId="0" borderId="28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3" fontId="31" fillId="0" borderId="0" xfId="0" applyNumberFormat="1" applyFont="1" applyAlignment="1">
      <alignment/>
    </xf>
    <xf numFmtId="3" fontId="28" fillId="0" borderId="0" xfId="0" applyNumberFormat="1" applyFont="1" applyAlignment="1">
      <alignment horizontal="left"/>
    </xf>
    <xf numFmtId="3" fontId="1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70" fillId="0" borderId="32" xfId="57" applyNumberFormat="1" applyFont="1" applyBorder="1" applyAlignment="1">
      <alignment horizontal="center"/>
    </xf>
    <xf numFmtId="164" fontId="63" fillId="0" borderId="16" xfId="57" applyNumberFormat="1" applyFont="1" applyBorder="1" applyAlignment="1">
      <alignment/>
    </xf>
    <xf numFmtId="3" fontId="76" fillId="0" borderId="0" xfId="0" applyNumberFormat="1" applyFont="1" applyAlignment="1">
      <alignment/>
    </xf>
    <xf numFmtId="3" fontId="20" fillId="0" borderId="0" xfId="0" applyNumberFormat="1" applyFont="1" applyAlignment="1">
      <alignment horizontal="center"/>
    </xf>
    <xf numFmtId="37" fontId="7" fillId="0" borderId="16" xfId="0" applyNumberFormat="1" applyFont="1" applyBorder="1" applyAlignment="1" quotePrefix="1">
      <alignment/>
    </xf>
    <xf numFmtId="37" fontId="1" fillId="0" borderId="0" xfId="0" applyNumberFormat="1" applyFont="1" applyAlignment="1">
      <alignment/>
    </xf>
    <xf numFmtId="3" fontId="1" fillId="0" borderId="11" xfId="0" applyNumberFormat="1" applyFont="1" applyFill="1" applyBorder="1" applyAlignment="1">
      <alignment/>
    </xf>
    <xf numFmtId="3" fontId="77" fillId="0" borderId="32" xfId="0" applyNumberFormat="1" applyFont="1" applyBorder="1" applyAlignment="1">
      <alignment horizontal="right"/>
    </xf>
    <xf numFmtId="3" fontId="77" fillId="0" borderId="16" xfId="0" applyNumberFormat="1" applyFont="1" applyBorder="1" applyAlignment="1">
      <alignment horizontal="right"/>
    </xf>
    <xf numFmtId="3" fontId="77" fillId="0" borderId="16" xfId="0" applyNumberFormat="1" applyFont="1" applyBorder="1" applyAlignment="1">
      <alignment/>
    </xf>
    <xf numFmtId="3" fontId="78" fillId="0" borderId="16" xfId="0" applyNumberFormat="1" applyFont="1" applyBorder="1" applyAlignment="1">
      <alignment horizontal="right"/>
    </xf>
    <xf numFmtId="3" fontId="77" fillId="0" borderId="16" xfId="0" applyNumberFormat="1" applyFont="1" applyBorder="1" applyAlignment="1">
      <alignment horizontal="center"/>
    </xf>
    <xf numFmtId="3" fontId="77" fillId="0" borderId="15" xfId="0" applyNumberFormat="1" applyFont="1" applyBorder="1" applyAlignment="1">
      <alignment horizontal="center"/>
    </xf>
    <xf numFmtId="3" fontId="77" fillId="0" borderId="32" xfId="0" applyNumberFormat="1" applyFont="1" applyBorder="1" applyAlignment="1">
      <alignment/>
    </xf>
    <xf numFmtId="3" fontId="77" fillId="0" borderId="32" xfId="0" applyNumberFormat="1" applyFont="1" applyBorder="1" applyAlignment="1" quotePrefix="1">
      <alignment horizontal="center"/>
    </xf>
    <xf numFmtId="3" fontId="77" fillId="0" borderId="32" xfId="0" applyNumberFormat="1" applyFont="1" applyBorder="1" applyAlignment="1">
      <alignment horizontal="center"/>
    </xf>
    <xf numFmtId="3" fontId="77" fillId="0" borderId="16" xfId="0" applyNumberFormat="1" applyFont="1" applyBorder="1" applyAlignment="1" quotePrefix="1">
      <alignment horizontal="center"/>
    </xf>
    <xf numFmtId="3" fontId="78" fillId="0" borderId="16" xfId="0" applyNumberFormat="1" applyFont="1" applyBorder="1" applyAlignment="1">
      <alignment/>
    </xf>
    <xf numFmtId="3" fontId="78" fillId="0" borderId="16" xfId="0" applyNumberFormat="1" applyFont="1" applyBorder="1" applyAlignment="1">
      <alignment horizontal="center"/>
    </xf>
    <xf numFmtId="37" fontId="77" fillId="0" borderId="16" xfId="0" applyNumberFormat="1" applyFont="1" applyBorder="1" applyAlignment="1">
      <alignment/>
    </xf>
    <xf numFmtId="3" fontId="77" fillId="0" borderId="17" xfId="0" applyNumberFormat="1" applyFont="1" applyBorder="1" applyAlignment="1">
      <alignment/>
    </xf>
    <xf numFmtId="3" fontId="77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33" fillId="0" borderId="30" xfId="0" applyNumberFormat="1" applyFont="1" applyBorder="1" applyAlignment="1">
      <alignment horizontal="center"/>
    </xf>
    <xf numFmtId="3" fontId="33" fillId="0" borderId="15" xfId="0" applyNumberFormat="1" applyFont="1" applyBorder="1" applyAlignment="1">
      <alignment horizontal="center"/>
    </xf>
    <xf numFmtId="3" fontId="79" fillId="0" borderId="16" xfId="57" applyNumberFormat="1" applyFont="1" applyBorder="1" applyAlignment="1" quotePrefix="1">
      <alignment horizontal="center"/>
    </xf>
    <xf numFmtId="3" fontId="79" fillId="0" borderId="16" xfId="57" applyNumberFormat="1" applyFont="1" applyBorder="1" applyAlignment="1">
      <alignment/>
    </xf>
    <xf numFmtId="3" fontId="80" fillId="0" borderId="16" xfId="57" applyNumberFormat="1" applyFont="1" applyBorder="1" applyAlignment="1">
      <alignment horizontal="center"/>
    </xf>
    <xf numFmtId="3" fontId="79" fillId="0" borderId="16" xfId="57" applyNumberFormat="1" applyFont="1" applyBorder="1" applyAlignment="1">
      <alignment horizontal="center"/>
    </xf>
    <xf numFmtId="3" fontId="21" fillId="0" borderId="16" xfId="57" applyNumberFormat="1" applyFont="1" applyBorder="1" applyAlignment="1">
      <alignment horizontal="center"/>
    </xf>
    <xf numFmtId="3" fontId="81" fillId="0" borderId="17" xfId="0" applyNumberFormat="1" applyFont="1" applyBorder="1" applyAlignment="1">
      <alignment horizontal="center"/>
    </xf>
    <xf numFmtId="3" fontId="82" fillId="0" borderId="16" xfId="57" applyNumberFormat="1" applyFont="1" applyBorder="1" applyAlignment="1" quotePrefix="1">
      <alignment horizontal="center"/>
    </xf>
    <xf numFmtId="3" fontId="82" fillId="0" borderId="16" xfId="57" applyNumberFormat="1" applyFont="1" applyBorder="1" applyAlignment="1">
      <alignment/>
    </xf>
    <xf numFmtId="3" fontId="83" fillId="0" borderId="16" xfId="57" applyNumberFormat="1" applyFont="1" applyBorder="1" applyAlignment="1">
      <alignment horizontal="center"/>
    </xf>
    <xf numFmtId="3" fontId="82" fillId="0" borderId="16" xfId="57" applyNumberFormat="1" applyFont="1" applyBorder="1" applyAlignment="1">
      <alignment horizontal="center"/>
    </xf>
    <xf numFmtId="3" fontId="84" fillId="0" borderId="16" xfId="57" applyNumberFormat="1" applyFont="1" applyBorder="1" applyAlignment="1">
      <alignment horizontal="center"/>
    </xf>
    <xf numFmtId="3" fontId="84" fillId="0" borderId="27" xfId="57" applyNumberFormat="1" applyFont="1" applyBorder="1" applyAlignment="1">
      <alignment horizontal="center"/>
    </xf>
    <xf numFmtId="3" fontId="85" fillId="0" borderId="17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/>
    </xf>
    <xf numFmtId="0" fontId="38" fillId="0" borderId="0" xfId="0" applyFont="1" applyAlignment="1">
      <alignment/>
    </xf>
    <xf numFmtId="37" fontId="2" fillId="0" borderId="0" xfId="0" applyNumberFormat="1" applyFont="1" applyAlignment="1">
      <alignment/>
    </xf>
    <xf numFmtId="3" fontId="9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7" fillId="0" borderId="28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7" fontId="7" fillId="0" borderId="36" xfId="0" applyNumberFormat="1" applyFont="1" applyBorder="1" applyAlignment="1">
      <alignment/>
    </xf>
    <xf numFmtId="37" fontId="9" fillId="0" borderId="36" xfId="0" applyNumberFormat="1" applyFont="1" applyBorder="1" applyAlignment="1">
      <alignment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center" vertical="center"/>
    </xf>
    <xf numFmtId="3" fontId="92" fillId="0" borderId="32" xfId="0" applyNumberFormat="1" applyFont="1" applyBorder="1" applyAlignment="1">
      <alignment horizontal="right"/>
    </xf>
    <xf numFmtId="3" fontId="92" fillId="0" borderId="16" xfId="0" applyNumberFormat="1" applyFont="1" applyBorder="1" applyAlignment="1">
      <alignment horizontal="right"/>
    </xf>
    <xf numFmtId="3" fontId="93" fillId="0" borderId="16" xfId="0" applyNumberFormat="1" applyFont="1" applyBorder="1" applyAlignment="1">
      <alignment horizontal="right"/>
    </xf>
    <xf numFmtId="3" fontId="92" fillId="0" borderId="17" xfId="0" applyNumberFormat="1" applyFont="1" applyBorder="1" applyAlignment="1">
      <alignment horizontal="center"/>
    </xf>
    <xf numFmtId="38" fontId="87" fillId="0" borderId="16" xfId="57" applyNumberFormat="1" applyFont="1" applyBorder="1" applyAlignment="1">
      <alignment horizontal="right"/>
    </xf>
    <xf numFmtId="38" fontId="87" fillId="0" borderId="16" xfId="57" applyNumberFormat="1" applyFont="1" applyBorder="1" applyAlignment="1">
      <alignment/>
    </xf>
    <xf numFmtId="38" fontId="90" fillId="0" borderId="17" xfId="0" applyNumberFormat="1" applyFont="1" applyBorder="1" applyAlignment="1">
      <alignment/>
    </xf>
    <xf numFmtId="38" fontId="82" fillId="0" borderId="16" xfId="57" applyNumberFormat="1" applyFont="1" applyBorder="1" applyAlignment="1" quotePrefix="1">
      <alignment horizontal="right"/>
    </xf>
    <xf numFmtId="38" fontId="82" fillId="0" borderId="16" xfId="57" applyNumberFormat="1" applyFont="1" applyBorder="1" applyAlignment="1">
      <alignment horizontal="right"/>
    </xf>
    <xf numFmtId="38" fontId="84" fillId="0" borderId="16" xfId="57" applyNumberFormat="1" applyFont="1" applyBorder="1" applyAlignment="1">
      <alignment horizontal="right"/>
    </xf>
    <xf numFmtId="38" fontId="84" fillId="0" borderId="27" xfId="57" applyNumberFormat="1" applyFont="1" applyBorder="1" applyAlignment="1">
      <alignment horizontal="right"/>
    </xf>
    <xf numFmtId="38" fontId="90" fillId="0" borderId="17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57" fillId="0" borderId="41" xfId="0" applyNumberFormat="1" applyFont="1" applyBorder="1" applyAlignment="1">
      <alignment horizontal="right"/>
    </xf>
    <xf numFmtId="38" fontId="50" fillId="0" borderId="35" xfId="0" applyNumberFormat="1" applyFont="1" applyBorder="1" applyAlignment="1">
      <alignment horizontal="center" vertical="center"/>
    </xf>
    <xf numFmtId="38" fontId="50" fillId="0" borderId="13" xfId="0" applyNumberFormat="1" applyFont="1" applyBorder="1" applyAlignment="1">
      <alignment horizontal="center" vertical="center"/>
    </xf>
    <xf numFmtId="38" fontId="50" fillId="0" borderId="35" xfId="0" applyNumberFormat="1" applyFont="1" applyBorder="1" applyAlignment="1">
      <alignment horizontal="right" vertical="center"/>
    </xf>
    <xf numFmtId="38" fontId="50" fillId="0" borderId="13" xfId="0" applyNumberFormat="1" applyFont="1" applyBorder="1" applyAlignment="1">
      <alignment horizontal="right" vertical="center"/>
    </xf>
    <xf numFmtId="38" fontId="61" fillId="0" borderId="15" xfId="0" applyNumberFormat="1" applyFont="1" applyBorder="1" applyAlignment="1">
      <alignment horizontal="center" vertical="center" wrapText="1"/>
    </xf>
    <xf numFmtId="38" fontId="62" fillId="0" borderId="13" xfId="0" applyNumberFormat="1" applyFont="1" applyBorder="1" applyAlignment="1">
      <alignment horizontal="right" vertical="center"/>
    </xf>
    <xf numFmtId="38" fontId="70" fillId="0" borderId="32" xfId="57" applyNumberFormat="1" applyFont="1" applyBorder="1" applyAlignment="1">
      <alignment horizontal="center"/>
    </xf>
    <xf numFmtId="38" fontId="70" fillId="0" borderId="32" xfId="57" applyNumberFormat="1" applyFont="1" applyBorder="1" applyAlignment="1">
      <alignment horizontal="right"/>
    </xf>
    <xf numFmtId="38" fontId="71" fillId="0" borderId="32" xfId="57" applyNumberFormat="1" applyFont="1" applyBorder="1" applyAlignment="1">
      <alignment horizontal="right"/>
    </xf>
    <xf numFmtId="38" fontId="86" fillId="0" borderId="16" xfId="57" applyNumberFormat="1" applyFont="1" applyBorder="1" applyAlignment="1" quotePrefix="1">
      <alignment horizontal="right"/>
    </xf>
    <xf numFmtId="38" fontId="86" fillId="0" borderId="16" xfId="57" applyNumberFormat="1" applyFont="1" applyBorder="1" applyAlignment="1">
      <alignment/>
    </xf>
    <xf numFmtId="38" fontId="86" fillId="0" borderId="16" xfId="57" applyNumberFormat="1" applyFont="1" applyBorder="1" applyAlignment="1">
      <alignment horizontal="right"/>
    </xf>
    <xf numFmtId="38" fontId="86" fillId="0" borderId="16" xfId="57" applyNumberFormat="1" applyFont="1" applyBorder="1" applyAlignment="1" quotePrefix="1">
      <alignment/>
    </xf>
    <xf numFmtId="38" fontId="86" fillId="0" borderId="16" xfId="57" applyNumberFormat="1" applyFont="1" applyBorder="1" applyAlignment="1">
      <alignment/>
    </xf>
    <xf numFmtId="38" fontId="86" fillId="0" borderId="16" xfId="57" applyNumberFormat="1" applyFont="1" applyBorder="1" applyAlignment="1">
      <alignment horizontal="center"/>
    </xf>
    <xf numFmtId="38" fontId="88" fillId="0" borderId="16" xfId="57" applyNumberFormat="1" applyFont="1" applyBorder="1" applyAlignment="1">
      <alignment horizontal="right"/>
    </xf>
    <xf numFmtId="38" fontId="88" fillId="0" borderId="16" xfId="57" applyNumberFormat="1" applyFont="1" applyBorder="1" applyAlignment="1">
      <alignment/>
    </xf>
    <xf numFmtId="38" fontId="88" fillId="0" borderId="27" xfId="57" applyNumberFormat="1" applyFont="1" applyBorder="1" applyAlignment="1">
      <alignment horizontal="right"/>
    </xf>
    <xf numFmtId="38" fontId="89" fillId="0" borderId="21" xfId="0" applyNumberFormat="1" applyFont="1" applyBorder="1" applyAlignment="1">
      <alignment/>
    </xf>
    <xf numFmtId="38" fontId="89" fillId="0" borderId="21" xfId="0" applyNumberFormat="1" applyFont="1" applyBorder="1" applyAlignment="1">
      <alignment horizontal="right"/>
    </xf>
    <xf numFmtId="38" fontId="89" fillId="0" borderId="16" xfId="0" applyNumberFormat="1" applyFont="1" applyBorder="1" applyAlignment="1">
      <alignment horizontal="right"/>
    </xf>
    <xf numFmtId="38" fontId="1" fillId="0" borderId="0" xfId="0" applyNumberFormat="1" applyFont="1" applyAlignment="1">
      <alignment/>
    </xf>
    <xf numFmtId="38" fontId="64" fillId="0" borderId="0" xfId="0" applyNumberFormat="1" applyFont="1" applyAlignment="1">
      <alignment horizontal="right"/>
    </xf>
    <xf numFmtId="38" fontId="54" fillId="0" borderId="0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38" fontId="12" fillId="0" borderId="0" xfId="0" applyNumberFormat="1" applyFont="1" applyBorder="1" applyAlignment="1">
      <alignment/>
    </xf>
    <xf numFmtId="38" fontId="12" fillId="0" borderId="0" xfId="0" applyNumberFormat="1" applyFont="1" applyBorder="1" applyAlignment="1">
      <alignment horizontal="right"/>
    </xf>
    <xf numFmtId="38" fontId="54" fillId="0" borderId="0" xfId="0" applyNumberFormat="1" applyFont="1" applyBorder="1" applyAlignment="1">
      <alignment horizontal="right"/>
    </xf>
    <xf numFmtId="38" fontId="28" fillId="0" borderId="0" xfId="0" applyNumberFormat="1" applyFont="1" applyAlignment="1">
      <alignment/>
    </xf>
    <xf numFmtId="38" fontId="28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38" fontId="32" fillId="0" borderId="0" xfId="0" applyNumberFormat="1" applyFont="1" applyAlignment="1">
      <alignment horizontal="center"/>
    </xf>
    <xf numFmtId="38" fontId="32" fillId="0" borderId="0" xfId="0" applyNumberFormat="1" applyFont="1" applyAlignment="1">
      <alignment horizontal="right"/>
    </xf>
    <xf numFmtId="38" fontId="31" fillId="0" borderId="0" xfId="0" applyNumberFormat="1" applyFont="1" applyAlignment="1">
      <alignment horizontal="left"/>
    </xf>
    <xf numFmtId="38" fontId="31" fillId="0" borderId="0" xfId="0" applyNumberFormat="1" applyFont="1" applyAlignment="1">
      <alignment horizontal="right"/>
    </xf>
    <xf numFmtId="164" fontId="95" fillId="0" borderId="0" xfId="0" applyNumberFormat="1" applyFont="1" applyAlignment="1">
      <alignment horizontal="left"/>
    </xf>
    <xf numFmtId="38" fontId="1" fillId="0" borderId="11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76" fillId="0" borderId="0" xfId="0" applyNumberFormat="1" applyFont="1" applyAlignment="1">
      <alignment/>
    </xf>
    <xf numFmtId="0" fontId="0" fillId="0" borderId="0" xfId="0" applyAlignment="1">
      <alignment/>
    </xf>
    <xf numFmtId="3" fontId="54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33" fillId="0" borderId="13" xfId="0" applyNumberFormat="1" applyFont="1" applyBorder="1" applyAlignment="1">
      <alignment horizontal="center"/>
    </xf>
    <xf numFmtId="3" fontId="55" fillId="0" borderId="13" xfId="0" applyNumberFormat="1" applyFont="1" applyBorder="1" applyAlignment="1">
      <alignment horizontal="center" wrapText="1"/>
    </xf>
    <xf numFmtId="3" fontId="55" fillId="0" borderId="13" xfId="0" applyNumberFormat="1" applyFont="1" applyBorder="1" applyAlignment="1">
      <alignment horizontal="center"/>
    </xf>
    <xf numFmtId="3" fontId="52" fillId="0" borderId="30" xfId="0" applyNumberFormat="1" applyFont="1" applyBorder="1" applyAlignment="1">
      <alignment horizontal="center" vertical="center"/>
    </xf>
    <xf numFmtId="3" fontId="52" fillId="0" borderId="15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wrapText="1"/>
    </xf>
    <xf numFmtId="3" fontId="33" fillId="0" borderId="17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left"/>
    </xf>
    <xf numFmtId="3" fontId="37" fillId="0" borderId="0" xfId="0" applyNumberFormat="1" applyFont="1" applyBorder="1" applyAlignment="1">
      <alignment horizontal="left" wrapText="1"/>
    </xf>
    <xf numFmtId="3" fontId="1" fillId="0" borderId="21" xfId="0" applyNumberFormat="1" applyFont="1" applyBorder="1" applyAlignment="1">
      <alignment horizontal="left"/>
    </xf>
    <xf numFmtId="3" fontId="1" fillId="0" borderId="38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 wrapText="1"/>
    </xf>
    <xf numFmtId="3" fontId="7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center"/>
    </xf>
    <xf numFmtId="164" fontId="34" fillId="0" borderId="18" xfId="0" applyNumberFormat="1" applyFont="1" applyBorder="1" applyAlignment="1">
      <alignment horizontal="left"/>
    </xf>
    <xf numFmtId="3" fontId="16" fillId="0" borderId="41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right"/>
    </xf>
    <xf numFmtId="38" fontId="50" fillId="0" borderId="22" xfId="0" applyNumberFormat="1" applyFont="1" applyBorder="1" applyAlignment="1">
      <alignment horizontal="right" vertical="center"/>
    </xf>
    <xf numFmtId="38" fontId="50" fillId="0" borderId="14" xfId="0" applyNumberFormat="1" applyFont="1" applyBorder="1" applyAlignment="1">
      <alignment horizontal="right" vertical="center"/>
    </xf>
    <xf numFmtId="164" fontId="59" fillId="33" borderId="0" xfId="0" applyNumberFormat="1" applyFont="1" applyFill="1" applyBorder="1" applyAlignment="1">
      <alignment horizontal="center" vertical="center"/>
    </xf>
    <xf numFmtId="164" fontId="94" fillId="0" borderId="0" xfId="0" applyNumberFormat="1" applyFont="1" applyBorder="1" applyAlignment="1">
      <alignment horizontal="center"/>
    </xf>
    <xf numFmtId="38" fontId="96" fillId="0" borderId="18" xfId="0" applyNumberFormat="1" applyFont="1" applyBorder="1" applyAlignment="1">
      <alignment horizontal="right"/>
    </xf>
    <xf numFmtId="38" fontId="88" fillId="0" borderId="0" xfId="0" applyNumberFormat="1" applyFont="1" applyAlignment="1">
      <alignment horizontal="right"/>
    </xf>
    <xf numFmtId="38" fontId="23" fillId="0" borderId="0" xfId="0" applyNumberFormat="1" applyFont="1" applyAlignment="1">
      <alignment horizontal="right"/>
    </xf>
    <xf numFmtId="38" fontId="23" fillId="0" borderId="0" xfId="0" applyNumberFormat="1" applyFont="1" applyBorder="1" applyAlignment="1">
      <alignment horizontal="right"/>
    </xf>
    <xf numFmtId="164" fontId="72" fillId="33" borderId="0" xfId="0" applyNumberFormat="1" applyFont="1" applyFill="1" applyBorder="1" applyAlignment="1">
      <alignment horizontal="center" vertical="center"/>
    </xf>
    <xf numFmtId="3" fontId="60" fillId="0" borderId="30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38" fontId="50" fillId="0" borderId="22" xfId="0" applyNumberFormat="1" applyFont="1" applyBorder="1" applyAlignment="1">
      <alignment horizontal="center" vertical="center"/>
    </xf>
    <xf numFmtId="38" fontId="50" fillId="0" borderId="14" xfId="0" applyNumberFormat="1" applyFont="1" applyBorder="1" applyAlignment="1">
      <alignment horizontal="center" vertical="center"/>
    </xf>
    <xf numFmtId="3" fontId="77" fillId="0" borderId="15" xfId="0" applyNumberFormat="1" applyFont="1" applyBorder="1" applyAlignment="1">
      <alignment/>
    </xf>
    <xf numFmtId="3" fontId="92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676275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676275</xdr:colOff>
      <xdr:row>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257175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676275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571500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="82" zoomScaleNormal="82" zoomScalePageLayoutView="0" workbookViewId="0" topLeftCell="A22">
      <selection activeCell="M34" sqref="M34"/>
    </sheetView>
  </sheetViews>
  <sheetFormatPr defaultColWidth="9.00390625" defaultRowHeight="12.75"/>
  <cols>
    <col min="1" max="1" width="38.375" style="2" customWidth="1"/>
    <col min="2" max="2" width="6.875" style="1" customWidth="1"/>
    <col min="3" max="3" width="7.25390625" style="1" customWidth="1"/>
    <col min="4" max="4" width="16.625" style="1" hidden="1" customWidth="1"/>
    <col min="5" max="5" width="15.625" style="1" hidden="1" customWidth="1"/>
    <col min="6" max="6" width="16.875" style="148" hidden="1" customWidth="1"/>
    <col min="7" max="7" width="17.375" style="148" hidden="1" customWidth="1"/>
    <col min="8" max="9" width="18.00390625" style="148" customWidth="1"/>
    <col min="10" max="11" width="17.875" style="2" hidden="1" customWidth="1"/>
    <col min="12" max="13" width="17.875" style="2" customWidth="1"/>
    <col min="14" max="14" width="29.125" style="2" customWidth="1"/>
    <col min="15" max="16384" width="9.125" style="2" customWidth="1"/>
  </cols>
  <sheetData>
    <row r="2" spans="1:13" ht="17.25">
      <c r="A2" s="137" t="s">
        <v>451</v>
      </c>
      <c r="B2" s="38"/>
      <c r="C2" s="38"/>
      <c r="D2" s="38"/>
      <c r="E2" s="38"/>
      <c r="F2" s="146"/>
      <c r="G2" s="146"/>
      <c r="H2" s="146"/>
      <c r="I2" s="146"/>
      <c r="L2" s="363" t="s">
        <v>555</v>
      </c>
      <c r="M2" s="363"/>
    </row>
    <row r="3" spans="1:13" ht="15.75">
      <c r="A3" s="145" t="s">
        <v>419</v>
      </c>
      <c r="B3" s="38"/>
      <c r="C3" s="38"/>
      <c r="D3" s="38"/>
      <c r="E3" s="38"/>
      <c r="F3" s="146"/>
      <c r="G3" s="146"/>
      <c r="H3" s="146"/>
      <c r="I3" s="146"/>
      <c r="L3" s="310" t="s">
        <v>554</v>
      </c>
      <c r="M3" s="309"/>
    </row>
    <row r="4" spans="1:13" ht="15">
      <c r="A4" s="207" t="s">
        <v>621</v>
      </c>
      <c r="B4" s="39"/>
      <c r="C4" s="39"/>
      <c r="D4" s="39"/>
      <c r="E4" s="39"/>
      <c r="F4" s="147"/>
      <c r="G4" s="147"/>
      <c r="H4" s="147"/>
      <c r="I4" s="147"/>
      <c r="J4" s="284"/>
      <c r="K4" s="284"/>
      <c r="L4" s="142"/>
      <c r="M4" s="142"/>
    </row>
    <row r="5" spans="1:13" ht="40.5" customHeight="1">
      <c r="A5" s="364" t="s">
        <v>58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</row>
    <row r="6" spans="1:13" ht="26.25" customHeight="1">
      <c r="A6" s="365" t="s">
        <v>624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</row>
    <row r="7" spans="1:13" ht="21">
      <c r="A7" s="4"/>
      <c r="K7" s="5"/>
      <c r="L7" s="6"/>
      <c r="M7" s="27" t="s">
        <v>59</v>
      </c>
    </row>
    <row r="8" spans="1:13" s="234" customFormat="1" ht="20.25" customHeight="1">
      <c r="A8" s="375" t="s">
        <v>60</v>
      </c>
      <c r="B8" s="377" t="s">
        <v>61</v>
      </c>
      <c r="C8" s="285" t="s">
        <v>62</v>
      </c>
      <c r="D8" s="374" t="s">
        <v>452</v>
      </c>
      <c r="E8" s="374"/>
      <c r="F8" s="374" t="s">
        <v>439</v>
      </c>
      <c r="G8" s="374"/>
      <c r="H8" s="374"/>
      <c r="I8" s="374"/>
      <c r="J8" s="372" t="s">
        <v>561</v>
      </c>
      <c r="K8" s="372"/>
      <c r="L8" s="373" t="s">
        <v>562</v>
      </c>
      <c r="M8" s="374"/>
    </row>
    <row r="9" spans="1:13" s="225" customFormat="1" ht="21.75" customHeight="1">
      <c r="A9" s="376"/>
      <c r="B9" s="378"/>
      <c r="C9" s="286" t="s">
        <v>63</v>
      </c>
      <c r="D9" s="224" t="s">
        <v>449</v>
      </c>
      <c r="E9" s="224" t="s">
        <v>450</v>
      </c>
      <c r="F9" s="224" t="s">
        <v>441</v>
      </c>
      <c r="G9" s="224" t="s">
        <v>440</v>
      </c>
      <c r="H9" s="224" t="s">
        <v>64</v>
      </c>
      <c r="I9" s="224" t="s">
        <v>65</v>
      </c>
      <c r="J9" s="224" t="s">
        <v>64</v>
      </c>
      <c r="K9" s="224" t="s">
        <v>65</v>
      </c>
      <c r="L9" s="224" t="s">
        <v>64</v>
      </c>
      <c r="M9" s="224" t="s">
        <v>65</v>
      </c>
    </row>
    <row r="10" spans="1:13" s="225" customFormat="1" ht="25.5" customHeight="1">
      <c r="A10" s="275" t="s">
        <v>66</v>
      </c>
      <c r="B10" s="276" t="s">
        <v>67</v>
      </c>
      <c r="C10" s="277" t="s">
        <v>68</v>
      </c>
      <c r="D10" s="269"/>
      <c r="E10" s="269"/>
      <c r="F10" s="269"/>
      <c r="G10" s="269"/>
      <c r="H10" s="269">
        <v>42315785100</v>
      </c>
      <c r="I10" s="311">
        <f>37954116709+246635000</f>
        <v>38200751709</v>
      </c>
      <c r="J10" s="275">
        <f>TMBC!C361</f>
        <v>42315785100</v>
      </c>
      <c r="K10" s="269">
        <v>42653584091</v>
      </c>
      <c r="L10" s="269">
        <f>H10+89120989896</f>
        <v>131436774996</v>
      </c>
      <c r="M10" s="269">
        <f>I10+75761724820</f>
        <v>113962476529</v>
      </c>
    </row>
    <row r="11" spans="1:13" s="225" customFormat="1" ht="25.5" customHeight="1">
      <c r="A11" s="271" t="s">
        <v>69</v>
      </c>
      <c r="B11" s="278" t="s">
        <v>70</v>
      </c>
      <c r="C11" s="273" t="s">
        <v>76</v>
      </c>
      <c r="D11" s="270"/>
      <c r="E11" s="270"/>
      <c r="F11" s="270"/>
      <c r="G11" s="270"/>
      <c r="H11" s="270">
        <v>0</v>
      </c>
      <c r="I11" s="312">
        <v>330243000</v>
      </c>
      <c r="J11" s="271">
        <f>TMBC!C365</f>
        <v>0</v>
      </c>
      <c r="K11" s="270">
        <v>18183091</v>
      </c>
      <c r="L11" s="270">
        <v>40806909</v>
      </c>
      <c r="M11" s="270">
        <f>I11+69804182</f>
        <v>400047182</v>
      </c>
    </row>
    <row r="12" spans="1:13" s="225" customFormat="1" ht="25.5" customHeight="1">
      <c r="A12" s="271" t="s">
        <v>71</v>
      </c>
      <c r="B12" s="273">
        <v>10</v>
      </c>
      <c r="C12" s="273" t="s">
        <v>73</v>
      </c>
      <c r="D12" s="270"/>
      <c r="E12" s="270"/>
      <c r="F12" s="270"/>
      <c r="G12" s="270"/>
      <c r="H12" s="312">
        <f>H10-H11</f>
        <v>42315785100</v>
      </c>
      <c r="I12" s="312">
        <f>I10-I11</f>
        <v>37870508709</v>
      </c>
      <c r="J12" s="270">
        <f>J10-J11</f>
        <v>42315785100</v>
      </c>
      <c r="K12" s="270">
        <f>K10-K11</f>
        <v>42635401000</v>
      </c>
      <c r="L12" s="270">
        <f>H12+89080182987</f>
        <v>131395968087</v>
      </c>
      <c r="M12" s="270">
        <f>I12+75691920638</f>
        <v>113562429347</v>
      </c>
    </row>
    <row r="13" spans="1:13" s="225" customFormat="1" ht="25.5" customHeight="1">
      <c r="A13" s="271" t="s">
        <v>72</v>
      </c>
      <c r="B13" s="273">
        <v>11</v>
      </c>
      <c r="C13" s="273" t="s">
        <v>78</v>
      </c>
      <c r="D13" s="270"/>
      <c r="E13" s="270"/>
      <c r="F13" s="270"/>
      <c r="G13" s="270"/>
      <c r="H13" s="270">
        <v>34190123021</v>
      </c>
      <c r="I13" s="312">
        <f>28024422920+246635000</f>
        <v>28271057920</v>
      </c>
      <c r="J13" s="271">
        <f>TMBC!C371</f>
        <v>33929410597</v>
      </c>
      <c r="K13" s="270">
        <v>31343011802</v>
      </c>
      <c r="L13" s="270">
        <f>H13+69894956663</f>
        <v>104085079684</v>
      </c>
      <c r="M13" s="270">
        <f>I13+56810128937</f>
        <v>85081186857</v>
      </c>
    </row>
    <row r="14" spans="1:13" s="225" customFormat="1" ht="25.5" customHeight="1">
      <c r="A14" s="271" t="s">
        <v>74</v>
      </c>
      <c r="B14" s="273">
        <v>20</v>
      </c>
      <c r="C14" s="273"/>
      <c r="D14" s="270"/>
      <c r="E14" s="270"/>
      <c r="F14" s="270"/>
      <c r="G14" s="270"/>
      <c r="H14" s="312">
        <f aca="true" t="shared" si="0" ref="H14:M14">H12-H13</f>
        <v>8125662079</v>
      </c>
      <c r="I14" s="312">
        <f t="shared" si="0"/>
        <v>9599450789</v>
      </c>
      <c r="J14" s="270">
        <f t="shared" si="0"/>
        <v>8386374503</v>
      </c>
      <c r="K14" s="271">
        <f t="shared" si="0"/>
        <v>11292389198</v>
      </c>
      <c r="L14" s="312">
        <f t="shared" si="0"/>
        <v>27310888403</v>
      </c>
      <c r="M14" s="312">
        <f t="shared" si="0"/>
        <v>28481242490</v>
      </c>
    </row>
    <row r="15" spans="1:13" s="225" customFormat="1" ht="25.5" customHeight="1">
      <c r="A15" s="271" t="s">
        <v>75</v>
      </c>
      <c r="B15" s="273">
        <v>21</v>
      </c>
      <c r="C15" s="273" t="s">
        <v>428</v>
      </c>
      <c r="D15" s="270"/>
      <c r="E15" s="270"/>
      <c r="F15" s="270"/>
      <c r="G15" s="270"/>
      <c r="H15" s="270">
        <v>128526291</v>
      </c>
      <c r="I15" s="312">
        <v>439035762</v>
      </c>
      <c r="J15" s="271">
        <v>1033312250</v>
      </c>
      <c r="K15" s="270">
        <v>646686713</v>
      </c>
      <c r="L15" s="270">
        <f>H15+1087557369</f>
        <v>1216083660</v>
      </c>
      <c r="M15" s="270">
        <f>I15+761573597</f>
        <v>1200609359</v>
      </c>
    </row>
    <row r="16" spans="1:13" s="225" customFormat="1" ht="25.5" customHeight="1">
      <c r="A16" s="271" t="s">
        <v>77</v>
      </c>
      <c r="B16" s="273">
        <v>22</v>
      </c>
      <c r="C16" s="273" t="s">
        <v>429</v>
      </c>
      <c r="D16" s="270"/>
      <c r="E16" s="270"/>
      <c r="F16" s="270"/>
      <c r="G16" s="270"/>
      <c r="H16" s="270">
        <v>829211762</v>
      </c>
      <c r="I16" s="312">
        <v>237598891</v>
      </c>
      <c r="J16" s="271">
        <f>TMBC!C379</f>
        <v>829211762</v>
      </c>
      <c r="K16" s="270">
        <v>121288192</v>
      </c>
      <c r="L16" s="270">
        <f>H16+538241097+75848000</f>
        <v>1443300859</v>
      </c>
      <c r="M16" s="270">
        <f>I16+165278617</f>
        <v>402877508</v>
      </c>
    </row>
    <row r="17" spans="1:13" s="225" customFormat="1" ht="25.5" customHeight="1">
      <c r="A17" s="279" t="s">
        <v>79</v>
      </c>
      <c r="B17" s="280">
        <v>23</v>
      </c>
      <c r="C17" s="280"/>
      <c r="D17" s="272"/>
      <c r="E17" s="272"/>
      <c r="F17" s="272"/>
      <c r="G17" s="272"/>
      <c r="H17" s="272">
        <f>230000000+596642632</f>
        <v>826642632</v>
      </c>
      <c r="I17" s="313">
        <v>237598891</v>
      </c>
      <c r="J17" s="279">
        <f>TMBC!C380</f>
        <v>826642632</v>
      </c>
      <c r="K17" s="272">
        <v>121288192</v>
      </c>
      <c r="L17" s="272">
        <f>TMBC!D380</f>
        <v>1321396729</v>
      </c>
      <c r="M17" s="272">
        <f>I17+165278617</f>
        <v>402877508</v>
      </c>
    </row>
    <row r="18" spans="1:13" s="225" customFormat="1" ht="25.5" customHeight="1">
      <c r="A18" s="271" t="s">
        <v>80</v>
      </c>
      <c r="B18" s="273">
        <v>24</v>
      </c>
      <c r="C18" s="273" t="s">
        <v>81</v>
      </c>
      <c r="D18" s="270"/>
      <c r="E18" s="270"/>
      <c r="F18" s="270"/>
      <c r="G18" s="270"/>
      <c r="H18" s="270">
        <v>1277929998</v>
      </c>
      <c r="I18" s="312">
        <v>2426584990</v>
      </c>
      <c r="J18" s="271">
        <f>TMBC!C386</f>
        <v>1277929998</v>
      </c>
      <c r="K18" s="270">
        <v>2025026918</v>
      </c>
      <c r="L18" s="270">
        <f>H18+6527024191-241344000</f>
        <v>7563610189</v>
      </c>
      <c r="M18" s="270">
        <f>I18+4439857122</f>
        <v>6866442112</v>
      </c>
    </row>
    <row r="19" spans="1:13" s="225" customFormat="1" ht="25.5" customHeight="1">
      <c r="A19" s="271" t="s">
        <v>82</v>
      </c>
      <c r="B19" s="273">
        <v>25</v>
      </c>
      <c r="C19" s="273" t="s">
        <v>83</v>
      </c>
      <c r="D19" s="270"/>
      <c r="E19" s="270"/>
      <c r="F19" s="270"/>
      <c r="G19" s="270"/>
      <c r="H19" s="270">
        <v>4096932991</v>
      </c>
      <c r="I19" s="312">
        <v>4795291683</v>
      </c>
      <c r="J19" s="271">
        <f>TMBC!C394</f>
        <v>4096932991</v>
      </c>
      <c r="K19" s="270">
        <v>6025136602</v>
      </c>
      <c r="L19" s="270">
        <f>H19+6835955767</f>
        <v>10932888758</v>
      </c>
      <c r="M19" s="270">
        <f>I19+8871089083</f>
        <v>13666380766</v>
      </c>
    </row>
    <row r="20" spans="1:13" s="225" customFormat="1" ht="25.5" customHeight="1">
      <c r="A20" s="271" t="s">
        <v>84</v>
      </c>
      <c r="B20" s="273">
        <v>30</v>
      </c>
      <c r="C20" s="273"/>
      <c r="D20" s="271"/>
      <c r="E20" s="271"/>
      <c r="F20" s="270"/>
      <c r="G20" s="270"/>
      <c r="H20" s="312">
        <f aca="true" t="shared" si="1" ref="H20:M20">H14+H15-H16-H18-H19</f>
        <v>2050113619</v>
      </c>
      <c r="I20" s="312">
        <f t="shared" si="1"/>
        <v>2579010987</v>
      </c>
      <c r="J20" s="271">
        <f t="shared" si="1"/>
        <v>3215612002</v>
      </c>
      <c r="K20" s="271">
        <f t="shared" si="1"/>
        <v>3767624199</v>
      </c>
      <c r="L20" s="312">
        <f t="shared" si="1"/>
        <v>8587172257</v>
      </c>
      <c r="M20" s="312">
        <f t="shared" si="1"/>
        <v>8746151463</v>
      </c>
    </row>
    <row r="21" spans="1:13" s="225" customFormat="1" ht="25.5" customHeight="1">
      <c r="A21" s="271" t="s">
        <v>85</v>
      </c>
      <c r="B21" s="273">
        <v>31</v>
      </c>
      <c r="C21" s="273"/>
      <c r="D21" s="270"/>
      <c r="E21" s="270"/>
      <c r="F21" s="270"/>
      <c r="G21" s="270"/>
      <c r="H21" s="270">
        <v>1363635</v>
      </c>
      <c r="I21" s="312">
        <v>336363636</v>
      </c>
      <c r="J21" s="271">
        <v>2000000</v>
      </c>
      <c r="K21" s="270">
        <v>0</v>
      </c>
      <c r="L21" s="271">
        <f>H21+5000000</f>
        <v>6363635</v>
      </c>
      <c r="M21" s="271">
        <f>I21+17369000</f>
        <v>353732636</v>
      </c>
    </row>
    <row r="22" spans="1:13" s="225" customFormat="1" ht="25.5" customHeight="1">
      <c r="A22" s="271" t="s">
        <v>86</v>
      </c>
      <c r="B22" s="273">
        <v>32</v>
      </c>
      <c r="C22" s="273"/>
      <c r="D22" s="270"/>
      <c r="E22" s="270"/>
      <c r="F22" s="270"/>
      <c r="G22" s="270"/>
      <c r="H22" s="270">
        <v>14770000</v>
      </c>
      <c r="I22" s="312">
        <v>11946930</v>
      </c>
      <c r="J22" s="271">
        <v>134400000</v>
      </c>
      <c r="K22" s="270">
        <v>2000000</v>
      </c>
      <c r="L22" s="271">
        <f>H22+134400000</f>
        <v>149170000</v>
      </c>
      <c r="M22" s="271">
        <f>I22+2045600</f>
        <v>13992530</v>
      </c>
    </row>
    <row r="23" spans="1:13" s="225" customFormat="1" ht="25.5" customHeight="1">
      <c r="A23" s="271" t="s">
        <v>87</v>
      </c>
      <c r="B23" s="273">
        <v>40</v>
      </c>
      <c r="C23" s="273"/>
      <c r="D23" s="271"/>
      <c r="E23" s="271"/>
      <c r="F23" s="270"/>
      <c r="G23" s="270"/>
      <c r="H23" s="281">
        <f aca="true" t="shared" si="2" ref="H23:M23">H21-H22</f>
        <v>-13406365</v>
      </c>
      <c r="I23" s="312">
        <f t="shared" si="2"/>
        <v>324416706</v>
      </c>
      <c r="J23" s="281">
        <f t="shared" si="2"/>
        <v>-132400000</v>
      </c>
      <c r="K23" s="281">
        <f t="shared" si="2"/>
        <v>-2000000</v>
      </c>
      <c r="L23" s="281">
        <f t="shared" si="2"/>
        <v>-142806365</v>
      </c>
      <c r="M23" s="312">
        <f t="shared" si="2"/>
        <v>339740106</v>
      </c>
    </row>
    <row r="24" spans="1:13" s="225" customFormat="1" ht="25.5" customHeight="1">
      <c r="A24" s="271" t="s">
        <v>88</v>
      </c>
      <c r="B24" s="273">
        <v>50</v>
      </c>
      <c r="C24" s="273"/>
      <c r="D24" s="271"/>
      <c r="E24" s="271"/>
      <c r="F24" s="270"/>
      <c r="G24" s="270"/>
      <c r="H24" s="312">
        <f aca="true" t="shared" si="3" ref="H24:M24">H20+H23</f>
        <v>2036707254</v>
      </c>
      <c r="I24" s="312">
        <f t="shared" si="3"/>
        <v>2903427693</v>
      </c>
      <c r="J24" s="271">
        <f t="shared" si="3"/>
        <v>3083212002</v>
      </c>
      <c r="K24" s="271">
        <f t="shared" si="3"/>
        <v>3765624199</v>
      </c>
      <c r="L24" s="271">
        <f t="shared" si="3"/>
        <v>8444365892</v>
      </c>
      <c r="M24" s="312">
        <f t="shared" si="3"/>
        <v>9085891569</v>
      </c>
    </row>
    <row r="25" spans="1:13" s="225" customFormat="1" ht="25.5" customHeight="1">
      <c r="A25" s="271" t="s">
        <v>89</v>
      </c>
      <c r="B25" s="273">
        <v>51</v>
      </c>
      <c r="C25" s="273"/>
      <c r="D25" s="270"/>
      <c r="E25" s="270"/>
      <c r="F25" s="270"/>
      <c r="G25" s="270"/>
      <c r="H25" s="270">
        <v>509176814</v>
      </c>
      <c r="I25" s="312">
        <f>I24*25%</f>
        <v>725856923.25</v>
      </c>
      <c r="J25" s="271">
        <v>904499275</v>
      </c>
      <c r="K25" s="270">
        <v>941406050</v>
      </c>
      <c r="L25" s="271">
        <f>H25+1601914660</f>
        <v>2111091474</v>
      </c>
      <c r="M25" s="270">
        <v>2271472892</v>
      </c>
    </row>
    <row r="26" spans="1:13" s="225" customFormat="1" ht="21" customHeight="1">
      <c r="A26" s="271" t="s">
        <v>90</v>
      </c>
      <c r="B26" s="273">
        <v>52</v>
      </c>
      <c r="C26" s="273"/>
      <c r="D26" s="270"/>
      <c r="E26" s="270"/>
      <c r="F26" s="270"/>
      <c r="G26" s="270"/>
      <c r="H26" s="270">
        <v>0</v>
      </c>
      <c r="I26" s="312">
        <v>0</v>
      </c>
      <c r="J26" s="271">
        <v>0</v>
      </c>
      <c r="K26" s="270">
        <v>0</v>
      </c>
      <c r="L26" s="271">
        <v>0</v>
      </c>
      <c r="M26" s="271">
        <v>0</v>
      </c>
    </row>
    <row r="27" spans="1:13" s="225" customFormat="1" ht="25.5" customHeight="1">
      <c r="A27" s="271" t="s">
        <v>91</v>
      </c>
      <c r="B27" s="273">
        <v>60</v>
      </c>
      <c r="C27" s="273"/>
      <c r="D27" s="270"/>
      <c r="E27" s="270"/>
      <c r="F27" s="270"/>
      <c r="G27" s="270"/>
      <c r="H27" s="312">
        <f>H24-H25</f>
        <v>1527530440</v>
      </c>
      <c r="I27" s="312">
        <f>I24-I25</f>
        <v>2177570769.75</v>
      </c>
      <c r="J27" s="270">
        <f>J24-J25</f>
        <v>2178712727</v>
      </c>
      <c r="K27" s="270">
        <f>K24-K25</f>
        <v>2824218149</v>
      </c>
      <c r="L27" s="270">
        <f>L24-L25</f>
        <v>6333274418</v>
      </c>
      <c r="M27" s="270">
        <f>I27+4636847906.75</f>
        <v>6814418676.5</v>
      </c>
    </row>
    <row r="28" spans="1:13" s="225" customFormat="1" ht="25.5" customHeight="1">
      <c r="A28" s="282" t="s">
        <v>92</v>
      </c>
      <c r="B28" s="283">
        <v>70</v>
      </c>
      <c r="C28" s="283"/>
      <c r="D28" s="283"/>
      <c r="E28" s="283"/>
      <c r="F28" s="283"/>
      <c r="G28" s="283"/>
      <c r="H28" s="283">
        <f>H27/2758680</f>
        <v>553.7178795655893</v>
      </c>
      <c r="I28" s="314">
        <v>903</v>
      </c>
      <c r="J28" s="283">
        <f>J27/2758680</f>
        <v>789.7663835602534</v>
      </c>
      <c r="K28" s="283">
        <v>1647</v>
      </c>
      <c r="L28" s="283">
        <f>L27/2758680</f>
        <v>2295.762617628721</v>
      </c>
      <c r="M28" s="283">
        <v>3501</v>
      </c>
    </row>
    <row r="29" spans="1:13" s="225" customFormat="1" ht="25.5" customHeight="1" hidden="1">
      <c r="A29" s="404" t="s">
        <v>93</v>
      </c>
      <c r="B29" s="274"/>
      <c r="C29" s="274"/>
      <c r="D29" s="274"/>
      <c r="E29" s="274"/>
      <c r="F29" s="274"/>
      <c r="G29" s="274"/>
      <c r="H29" s="274">
        <v>425</v>
      </c>
      <c r="I29" s="405">
        <v>500</v>
      </c>
      <c r="J29" s="274">
        <v>425</v>
      </c>
      <c r="K29" s="274">
        <v>500</v>
      </c>
      <c r="L29" s="274">
        <f>H29+850</f>
        <v>1275</v>
      </c>
      <c r="M29" s="274">
        <v>1500</v>
      </c>
    </row>
    <row r="30" spans="1:13" s="229" customFormat="1" ht="9.75" customHeight="1">
      <c r="A30" s="226"/>
      <c r="B30" s="227"/>
      <c r="C30" s="227"/>
      <c r="D30" s="227"/>
      <c r="E30" s="227"/>
      <c r="F30" s="228"/>
      <c r="G30" s="228"/>
      <c r="H30" s="228"/>
      <c r="I30" s="228"/>
      <c r="J30" s="226"/>
      <c r="K30" s="226"/>
      <c r="L30" s="226"/>
      <c r="M30" s="226"/>
    </row>
    <row r="31" spans="1:13" s="229" customFormat="1" ht="29.25" customHeight="1">
      <c r="A31" s="230"/>
      <c r="B31" s="231"/>
      <c r="C31" s="232"/>
      <c r="D31" s="233"/>
      <c r="E31" s="233"/>
      <c r="I31" s="370" t="s">
        <v>633</v>
      </c>
      <c r="J31" s="370"/>
      <c r="K31" s="370"/>
      <c r="L31" s="370"/>
      <c r="M31" s="370"/>
    </row>
    <row r="32" spans="1:13" s="36" customFormat="1" ht="18.75" customHeight="1">
      <c r="A32" s="368" t="s">
        <v>564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</row>
    <row r="33" spans="1:13" s="36" customFormat="1" ht="15" customHeight="1">
      <c r="A33" s="264"/>
      <c r="B33" s="264"/>
      <c r="C33" s="264"/>
      <c r="D33" s="264"/>
      <c r="E33" s="264"/>
      <c r="F33" s="35"/>
      <c r="G33" s="35"/>
      <c r="H33" s="35"/>
      <c r="L33" s="366"/>
      <c r="M33" s="366"/>
    </row>
    <row r="34" spans="1:8" s="36" customFormat="1" ht="12.75" customHeight="1">
      <c r="A34" s="35"/>
      <c r="B34" s="265"/>
      <c r="C34" s="265"/>
      <c r="D34" s="9" t="s">
        <v>448</v>
      </c>
      <c r="F34" s="35"/>
      <c r="G34" s="35"/>
      <c r="H34" s="35"/>
    </row>
    <row r="35" spans="1:9" ht="15.75">
      <c r="A35" s="7"/>
      <c r="D35" s="2"/>
      <c r="E35" s="2"/>
      <c r="F35" s="2"/>
      <c r="G35" s="2"/>
      <c r="H35" s="2"/>
      <c r="I35" s="2"/>
    </row>
    <row r="36" spans="1:9" ht="15.75">
      <c r="A36" s="7"/>
      <c r="D36" s="2"/>
      <c r="E36" s="2"/>
      <c r="F36" s="2"/>
      <c r="G36" s="2"/>
      <c r="H36" s="2"/>
      <c r="I36" s="2"/>
    </row>
    <row r="37" spans="1:9" ht="15.75">
      <c r="A37" s="7"/>
      <c r="D37" s="2"/>
      <c r="E37" s="2"/>
      <c r="F37" s="2"/>
      <c r="G37" s="2"/>
      <c r="H37" s="2"/>
      <c r="I37" s="2"/>
    </row>
    <row r="38" spans="1:9" ht="13.5" customHeight="1">
      <c r="A38" s="7"/>
      <c r="D38" s="2"/>
      <c r="E38" s="2"/>
      <c r="F38" s="2"/>
      <c r="G38" s="2"/>
      <c r="H38" s="2"/>
      <c r="I38" s="2"/>
    </row>
    <row r="39" spans="1:13" ht="15.75">
      <c r="A39" s="367" t="s">
        <v>565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</row>
    <row r="40" spans="1:13" ht="15.75">
      <c r="A40" s="134"/>
      <c r="E40" s="371"/>
      <c r="F40" s="371"/>
      <c r="G40" s="371"/>
      <c r="H40" s="371"/>
      <c r="I40" s="371"/>
      <c r="J40" s="371"/>
      <c r="K40" s="371"/>
      <c r="L40" s="371"/>
      <c r="M40" s="371"/>
    </row>
  </sheetData>
  <sheetProtection/>
  <mergeCells count="14">
    <mergeCell ref="E40:M40"/>
    <mergeCell ref="J8:K8"/>
    <mergeCell ref="L8:M8"/>
    <mergeCell ref="A8:A9"/>
    <mergeCell ref="B8:B9"/>
    <mergeCell ref="F8:I8"/>
    <mergeCell ref="D8:E8"/>
    <mergeCell ref="L2:M2"/>
    <mergeCell ref="A5:M5"/>
    <mergeCell ref="A6:M6"/>
    <mergeCell ref="L33:M33"/>
    <mergeCell ref="A39:M39"/>
    <mergeCell ref="A32:M32"/>
    <mergeCell ref="I31:M31"/>
  </mergeCells>
  <printOptions/>
  <pageMargins left="0.53" right="0.21" top="0.33" bottom="0.19" header="0.17" footer="0.18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4"/>
  <sheetViews>
    <sheetView zoomScalePageLayoutView="0" workbookViewId="0" topLeftCell="A417">
      <selection activeCell="B422" sqref="B422"/>
    </sheetView>
  </sheetViews>
  <sheetFormatPr defaultColWidth="16.75390625" defaultRowHeight="21.75" customHeight="1"/>
  <cols>
    <col min="1" max="1" width="4.00390625" style="2" customWidth="1"/>
    <col min="2" max="2" width="48.375" style="2" customWidth="1"/>
    <col min="3" max="4" width="23.25390625" style="2" customWidth="1"/>
    <col min="5" max="5" width="11.00390625" style="2" customWidth="1"/>
    <col min="6" max="6" width="13.625" style="2" customWidth="1"/>
    <col min="7" max="7" width="13.25390625" style="2" customWidth="1"/>
    <col min="8" max="8" width="7.375" style="2" customWidth="1"/>
    <col min="9" max="9" width="10.75390625" style="2" customWidth="1"/>
    <col min="10" max="10" width="17.00390625" style="7" customWidth="1"/>
    <col min="11" max="11" width="5.00390625" style="2" customWidth="1"/>
    <col min="12" max="12" width="15.875" style="2" customWidth="1"/>
    <col min="13" max="13" width="7.625" style="2" customWidth="1"/>
    <col min="14" max="14" width="7.125" style="2" customWidth="1"/>
    <col min="15" max="15" width="7.75390625" style="2" customWidth="1"/>
    <col min="16" max="16" width="5.00390625" style="2" customWidth="1"/>
    <col min="17" max="17" width="4.75390625" style="2" customWidth="1"/>
    <col min="18" max="16384" width="16.75390625" style="2" customWidth="1"/>
  </cols>
  <sheetData>
    <row r="1" spans="1:10" ht="27.75" customHeight="1">
      <c r="A1" s="379" t="s">
        <v>528</v>
      </c>
      <c r="B1" s="379"/>
      <c r="C1" s="379"/>
      <c r="D1" s="379"/>
      <c r="E1" s="136"/>
      <c r="F1" s="136"/>
      <c r="J1" s="301"/>
    </row>
    <row r="2" spans="1:10" ht="15" customHeight="1">
      <c r="A2" s="138" t="s">
        <v>437</v>
      </c>
      <c r="B2" s="38"/>
      <c r="C2" s="141" t="s">
        <v>529</v>
      </c>
      <c r="D2" s="141"/>
      <c r="E2" s="141"/>
      <c r="F2" s="141"/>
      <c r="J2" s="301"/>
    </row>
    <row r="3" spans="1:10" ht="13.5" customHeight="1">
      <c r="A3" s="143" t="s">
        <v>418</v>
      </c>
      <c r="B3" s="151"/>
      <c r="C3" s="39"/>
      <c r="D3" s="142"/>
      <c r="E3" s="142"/>
      <c r="F3" s="142"/>
      <c r="J3" s="301"/>
    </row>
    <row r="4" spans="1:5" ht="10.5" customHeight="1">
      <c r="A4" s="130"/>
      <c r="B4" s="131"/>
      <c r="C4" s="8"/>
      <c r="D4" s="132"/>
      <c r="E4" s="8"/>
    </row>
    <row r="5" spans="1:5" ht="42.75" customHeight="1">
      <c r="A5" s="383" t="s">
        <v>212</v>
      </c>
      <c r="B5" s="383"/>
      <c r="C5" s="383"/>
      <c r="D5" s="383"/>
      <c r="E5" s="135"/>
    </row>
    <row r="6" spans="1:5" ht="22.5" customHeight="1">
      <c r="A6" s="371" t="s">
        <v>624</v>
      </c>
      <c r="B6" s="371"/>
      <c r="C6" s="371"/>
      <c r="D6" s="371"/>
      <c r="E6" s="3"/>
    </row>
    <row r="7" spans="3:7" ht="15.75" customHeight="1">
      <c r="C7" s="9"/>
      <c r="G7" s="26"/>
    </row>
    <row r="8" spans="1:2" ht="21.75" customHeight="1">
      <c r="A8" s="7" t="s">
        <v>213</v>
      </c>
      <c r="B8" s="7"/>
    </row>
    <row r="9" spans="1:2" ht="21.75" customHeight="1">
      <c r="A9" s="40" t="s">
        <v>433</v>
      </c>
      <c r="B9" s="40"/>
    </row>
    <row r="10" spans="1:2" ht="21.75" customHeight="1">
      <c r="A10" s="40" t="s">
        <v>214</v>
      </c>
      <c r="B10" s="40"/>
    </row>
    <row r="11" spans="1:2" ht="21.75" customHeight="1">
      <c r="A11" s="40" t="s">
        <v>215</v>
      </c>
      <c r="B11" s="40"/>
    </row>
    <row r="12" spans="1:2" ht="21.75" customHeight="1">
      <c r="A12" s="41" t="s">
        <v>216</v>
      </c>
      <c r="B12" s="40"/>
    </row>
    <row r="13" spans="1:2" ht="21.75" customHeight="1">
      <c r="A13" s="41" t="s">
        <v>422</v>
      </c>
      <c r="B13" s="40"/>
    </row>
    <row r="14" spans="1:2" ht="21.75" customHeight="1">
      <c r="A14" s="41" t="s">
        <v>423</v>
      </c>
      <c r="B14" s="40"/>
    </row>
    <row r="15" spans="1:2" ht="21.75" customHeight="1">
      <c r="A15" s="41" t="s">
        <v>413</v>
      </c>
      <c r="B15" s="41"/>
    </row>
    <row r="16" spans="1:2" ht="21.75" customHeight="1">
      <c r="A16" s="40" t="s">
        <v>217</v>
      </c>
      <c r="B16" s="41"/>
    </row>
    <row r="17" spans="1:2" ht="27" customHeight="1">
      <c r="A17" s="7" t="s">
        <v>218</v>
      </c>
      <c r="B17" s="7"/>
    </row>
    <row r="18" spans="1:2" ht="21.75" customHeight="1">
      <c r="A18" s="41" t="s">
        <v>512</v>
      </c>
      <c r="B18" s="41"/>
    </row>
    <row r="19" spans="1:2" ht="21.75" customHeight="1">
      <c r="A19" s="41" t="s">
        <v>219</v>
      </c>
      <c r="B19" s="41"/>
    </row>
    <row r="20" spans="1:2" ht="27.75" customHeight="1">
      <c r="A20" s="7" t="s">
        <v>220</v>
      </c>
      <c r="B20" s="7"/>
    </row>
    <row r="21" spans="1:2" ht="26.25" customHeight="1">
      <c r="A21" s="40" t="s">
        <v>584</v>
      </c>
      <c r="B21" s="41"/>
    </row>
    <row r="22" spans="1:2" ht="19.5" customHeight="1">
      <c r="A22" s="43" t="s">
        <v>585</v>
      </c>
      <c r="B22" s="41"/>
    </row>
    <row r="23" spans="1:2" ht="19.5" customHeight="1">
      <c r="A23" s="41" t="s">
        <v>586</v>
      </c>
      <c r="B23" s="41"/>
    </row>
    <row r="24" spans="1:2" ht="28.5" customHeight="1">
      <c r="A24" s="40" t="s">
        <v>221</v>
      </c>
      <c r="B24" s="41"/>
    </row>
    <row r="25" spans="1:2" ht="21.75" customHeight="1">
      <c r="A25" s="41" t="s">
        <v>222</v>
      </c>
      <c r="B25" s="41"/>
    </row>
    <row r="26" spans="1:2" ht="29.25" customHeight="1">
      <c r="A26" s="40" t="s">
        <v>223</v>
      </c>
      <c r="B26" s="41"/>
    </row>
    <row r="27" spans="1:2" ht="31.5" customHeight="1">
      <c r="A27" s="7" t="s">
        <v>224</v>
      </c>
      <c r="B27" s="7"/>
    </row>
    <row r="28" spans="1:2" ht="27" customHeight="1">
      <c r="A28" s="7" t="s">
        <v>225</v>
      </c>
      <c r="B28" s="7"/>
    </row>
    <row r="29" spans="1:2" ht="21.75" customHeight="1">
      <c r="A29" s="42" t="s">
        <v>226</v>
      </c>
      <c r="B29" s="42"/>
    </row>
    <row r="30" spans="1:2" ht="21.75" customHeight="1">
      <c r="A30" s="42" t="s">
        <v>227</v>
      </c>
      <c r="B30" s="42"/>
    </row>
    <row r="31" spans="1:2" ht="21" customHeight="1">
      <c r="A31" s="41" t="s">
        <v>228</v>
      </c>
      <c r="B31" s="41"/>
    </row>
    <row r="32" spans="1:2" ht="21" customHeight="1">
      <c r="A32" s="41" t="s">
        <v>229</v>
      </c>
      <c r="B32" s="41"/>
    </row>
    <row r="33" spans="1:2" ht="21" customHeight="1">
      <c r="A33" s="41" t="s">
        <v>574</v>
      </c>
      <c r="B33" s="41"/>
    </row>
    <row r="34" spans="1:2" ht="21" customHeight="1">
      <c r="A34" s="41" t="s">
        <v>575</v>
      </c>
      <c r="B34" s="41"/>
    </row>
    <row r="35" spans="1:2" ht="27.75" customHeight="1">
      <c r="A35" s="7" t="s">
        <v>230</v>
      </c>
      <c r="B35" s="7"/>
    </row>
    <row r="36" spans="1:2" ht="21" customHeight="1">
      <c r="A36" s="2" t="s">
        <v>231</v>
      </c>
      <c r="B36" s="43"/>
    </row>
    <row r="37" spans="1:2" ht="21" customHeight="1">
      <c r="A37" s="41" t="s">
        <v>2</v>
      </c>
      <c r="B37" s="43"/>
    </row>
    <row r="38" spans="1:2" ht="21" customHeight="1">
      <c r="A38" s="41" t="s">
        <v>3</v>
      </c>
      <c r="B38" s="43"/>
    </row>
    <row r="39" spans="1:2" ht="21.75" customHeight="1">
      <c r="A39" s="2" t="s">
        <v>232</v>
      </c>
      <c r="B39" s="43"/>
    </row>
    <row r="40" spans="1:2" ht="21.75" customHeight="1">
      <c r="A40" s="2" t="s">
        <v>233</v>
      </c>
      <c r="B40" s="43"/>
    </row>
    <row r="41" spans="1:2" ht="21.75" customHeight="1">
      <c r="A41" s="2" t="s">
        <v>234</v>
      </c>
      <c r="B41" s="43"/>
    </row>
    <row r="42" spans="1:4" ht="21.75" customHeight="1">
      <c r="A42" s="8" t="s">
        <v>235</v>
      </c>
      <c r="B42" s="44"/>
      <c r="C42" s="8"/>
      <c r="D42" s="8"/>
    </row>
    <row r="43" spans="1:4" ht="20.25" customHeight="1">
      <c r="A43" s="45" t="s">
        <v>236</v>
      </c>
      <c r="B43" s="44"/>
      <c r="C43" s="8"/>
      <c r="D43" s="8"/>
    </row>
    <row r="44" spans="1:4" ht="20.25" customHeight="1">
      <c r="A44" s="45" t="s">
        <v>237</v>
      </c>
      <c r="B44" s="44"/>
      <c r="C44" s="8"/>
      <c r="D44" s="8"/>
    </row>
    <row r="45" spans="1:4" ht="30.75" customHeight="1">
      <c r="A45" s="46" t="s">
        <v>238</v>
      </c>
      <c r="B45" s="46"/>
      <c r="C45" s="47"/>
      <c r="D45" s="47"/>
    </row>
    <row r="46" spans="1:4" ht="21.75" customHeight="1">
      <c r="A46" s="48" t="s">
        <v>239</v>
      </c>
      <c r="B46" s="49"/>
      <c r="C46" s="47"/>
      <c r="D46" s="47"/>
    </row>
    <row r="47" spans="1:4" ht="21.75" customHeight="1">
      <c r="A47" s="50" t="s">
        <v>240</v>
      </c>
      <c r="B47" s="49"/>
      <c r="C47" s="47"/>
      <c r="D47" s="47"/>
    </row>
    <row r="48" spans="1:4" ht="21.75" customHeight="1">
      <c r="A48" s="48" t="s">
        <v>241</v>
      </c>
      <c r="B48" s="49"/>
      <c r="C48" s="47"/>
      <c r="D48" s="47"/>
    </row>
    <row r="49" spans="1:4" ht="20.25" customHeight="1">
      <c r="A49" s="384" t="s">
        <v>577</v>
      </c>
      <c r="B49" s="384"/>
      <c r="C49" s="384"/>
      <c r="D49" s="384"/>
    </row>
    <row r="50" spans="1:4" ht="20.25" customHeight="1">
      <c r="A50" s="380" t="s">
        <v>576</v>
      </c>
      <c r="B50" s="380"/>
      <c r="C50" s="380"/>
      <c r="D50" s="380"/>
    </row>
    <row r="51" spans="1:4" ht="20.25" customHeight="1">
      <c r="A51" s="50" t="s">
        <v>424</v>
      </c>
      <c r="B51" s="50"/>
      <c r="C51" s="47"/>
      <c r="D51" s="47"/>
    </row>
    <row r="52" spans="1:4" ht="21" customHeight="1">
      <c r="A52" s="50" t="s">
        <v>242</v>
      </c>
      <c r="B52" s="50"/>
      <c r="C52" s="47" t="s">
        <v>243</v>
      </c>
      <c r="D52" s="47"/>
    </row>
    <row r="53" spans="1:4" ht="21" customHeight="1">
      <c r="A53" s="50" t="s">
        <v>244</v>
      </c>
      <c r="B53" s="50"/>
      <c r="C53" s="47" t="s">
        <v>245</v>
      </c>
      <c r="D53" s="47"/>
    </row>
    <row r="54" spans="1:4" ht="21" customHeight="1">
      <c r="A54" s="50" t="s">
        <v>246</v>
      </c>
      <c r="B54" s="50"/>
      <c r="C54" s="47" t="s">
        <v>245</v>
      </c>
      <c r="D54" s="47"/>
    </row>
    <row r="55" spans="1:4" ht="21" customHeight="1">
      <c r="A55" s="50" t="s">
        <v>247</v>
      </c>
      <c r="B55" s="50"/>
      <c r="C55" s="47" t="s">
        <v>248</v>
      </c>
      <c r="D55" s="47"/>
    </row>
    <row r="56" spans="1:8" ht="21.75" customHeight="1">
      <c r="A56" s="46" t="s">
        <v>587</v>
      </c>
      <c r="B56" s="46"/>
      <c r="C56" s="47"/>
      <c r="D56" s="47"/>
      <c r="E56" s="47"/>
      <c r="F56" s="47"/>
      <c r="G56" s="47"/>
      <c r="H56" s="8"/>
    </row>
    <row r="57" spans="1:8" ht="21.75" customHeight="1">
      <c r="A57" s="48" t="s">
        <v>588</v>
      </c>
      <c r="B57" s="49"/>
      <c r="C57" s="47"/>
      <c r="D57" s="47"/>
      <c r="E57" s="47"/>
      <c r="F57" s="47"/>
      <c r="G57" s="47"/>
      <c r="H57" s="8"/>
    </row>
    <row r="58" spans="1:8" ht="21" customHeight="1">
      <c r="A58" s="41" t="s">
        <v>249</v>
      </c>
      <c r="B58" s="50"/>
      <c r="C58" s="47"/>
      <c r="D58" s="47"/>
      <c r="E58" s="47"/>
      <c r="F58" s="47"/>
      <c r="G58" s="47"/>
      <c r="H58" s="8"/>
    </row>
    <row r="59" spans="2:8" ht="21" customHeight="1">
      <c r="B59" s="51" t="s">
        <v>250</v>
      </c>
      <c r="C59" s="47"/>
      <c r="D59" s="47"/>
      <c r="E59" s="47"/>
      <c r="F59" s="47"/>
      <c r="G59" s="47"/>
      <c r="H59" s="8"/>
    </row>
    <row r="60" spans="2:8" ht="21" customHeight="1">
      <c r="B60" s="50" t="s">
        <v>251</v>
      </c>
      <c r="C60" s="47"/>
      <c r="D60" s="47"/>
      <c r="E60" s="47"/>
      <c r="F60" s="47"/>
      <c r="G60" s="47"/>
      <c r="H60" s="8"/>
    </row>
    <row r="61" spans="2:8" ht="21" customHeight="1">
      <c r="B61" s="51" t="s">
        <v>4</v>
      </c>
      <c r="C61" s="47"/>
      <c r="D61" s="47"/>
      <c r="E61" s="47"/>
      <c r="F61" s="47"/>
      <c r="G61" s="47"/>
      <c r="H61" s="8"/>
    </row>
    <row r="62" spans="2:8" ht="21" customHeight="1">
      <c r="B62" s="50" t="s">
        <v>5</v>
      </c>
      <c r="C62" s="47"/>
      <c r="D62" s="47"/>
      <c r="E62" s="47"/>
      <c r="F62" s="47"/>
      <c r="G62" s="47"/>
      <c r="H62" s="8"/>
    </row>
    <row r="63" spans="1:8" ht="21.75" customHeight="1">
      <c r="A63" s="48" t="s">
        <v>589</v>
      </c>
      <c r="B63" s="49"/>
      <c r="C63" s="47"/>
      <c r="D63" s="47"/>
      <c r="E63" s="47"/>
      <c r="F63" s="47"/>
      <c r="G63" s="47"/>
      <c r="H63" s="8"/>
    </row>
    <row r="64" spans="2:8" ht="21.75" customHeight="1">
      <c r="B64" s="50" t="s">
        <v>6</v>
      </c>
      <c r="C64" s="47"/>
      <c r="D64" s="47"/>
      <c r="E64" s="47"/>
      <c r="F64" s="47"/>
      <c r="G64" s="47"/>
      <c r="H64" s="8"/>
    </row>
    <row r="65" spans="2:8" ht="21.75" customHeight="1">
      <c r="B65" s="50" t="s">
        <v>7</v>
      </c>
      <c r="C65" s="47"/>
      <c r="D65" s="47"/>
      <c r="E65" s="47"/>
      <c r="F65" s="47"/>
      <c r="G65" s="47"/>
      <c r="H65" s="8"/>
    </row>
    <row r="66" spans="1:8" ht="21.75" customHeight="1">
      <c r="A66" s="40" t="s">
        <v>590</v>
      </c>
      <c r="E66" s="47"/>
      <c r="F66" s="47"/>
      <c r="G66" s="47"/>
      <c r="H66" s="8"/>
    </row>
    <row r="67" spans="1:8" ht="21.75" customHeight="1">
      <c r="A67" s="40" t="s">
        <v>591</v>
      </c>
      <c r="E67" s="47"/>
      <c r="F67" s="47"/>
      <c r="G67" s="47"/>
      <c r="H67" s="8"/>
    </row>
    <row r="68" spans="1:8" ht="21.75" customHeight="1">
      <c r="A68" s="48" t="s">
        <v>592</v>
      </c>
      <c r="B68" s="49"/>
      <c r="C68" s="47"/>
      <c r="D68" s="47"/>
      <c r="E68" s="47"/>
      <c r="F68" s="47"/>
      <c r="G68" s="47"/>
      <c r="H68" s="8"/>
    </row>
    <row r="69" spans="1:8" ht="21" customHeight="1">
      <c r="A69" s="49"/>
      <c r="B69" s="50" t="s">
        <v>460</v>
      </c>
      <c r="C69" s="47"/>
      <c r="D69" s="47"/>
      <c r="E69" s="47"/>
      <c r="F69" s="47"/>
      <c r="G69" s="47"/>
      <c r="H69" s="8"/>
    </row>
    <row r="70" spans="1:8" ht="21" customHeight="1">
      <c r="A70" s="49"/>
      <c r="B70" s="50" t="s">
        <v>461</v>
      </c>
      <c r="C70" s="47"/>
      <c r="D70" s="47"/>
      <c r="E70" s="47"/>
      <c r="F70" s="47"/>
      <c r="G70" s="47"/>
      <c r="H70" s="8"/>
    </row>
    <row r="71" spans="1:8" ht="21" customHeight="1">
      <c r="A71" s="49"/>
      <c r="B71" s="50" t="s">
        <v>8</v>
      </c>
      <c r="C71" s="47"/>
      <c r="D71" s="47"/>
      <c r="E71" s="47"/>
      <c r="F71" s="47"/>
      <c r="G71" s="47"/>
      <c r="H71" s="8"/>
    </row>
    <row r="72" spans="1:8" ht="21" customHeight="1">
      <c r="A72" s="49"/>
      <c r="B72" s="50" t="s">
        <v>9</v>
      </c>
      <c r="C72" s="47"/>
      <c r="D72" s="47"/>
      <c r="E72" s="47"/>
      <c r="F72" s="47"/>
      <c r="G72" s="47"/>
      <c r="H72" s="8"/>
    </row>
    <row r="73" spans="1:8" ht="21.75" customHeight="1">
      <c r="A73" s="48" t="s">
        <v>593</v>
      </c>
      <c r="B73" s="49"/>
      <c r="C73" s="47"/>
      <c r="D73" s="47"/>
      <c r="E73" s="47"/>
      <c r="F73" s="47"/>
      <c r="G73" s="47"/>
      <c r="H73" s="8"/>
    </row>
    <row r="74" spans="1:8" ht="20.25" customHeight="1">
      <c r="A74" s="48"/>
      <c r="B74" s="50" t="s">
        <v>252</v>
      </c>
      <c r="C74" s="47"/>
      <c r="D74" s="47"/>
      <c r="E74" s="47"/>
      <c r="F74" s="47"/>
      <c r="G74" s="47"/>
      <c r="H74" s="8"/>
    </row>
    <row r="75" spans="1:8" ht="20.25" customHeight="1">
      <c r="A75" s="48"/>
      <c r="B75" s="51" t="s">
        <v>10</v>
      </c>
      <c r="C75" s="47"/>
      <c r="D75" s="47"/>
      <c r="E75" s="47"/>
      <c r="F75" s="47"/>
      <c r="G75" s="47"/>
      <c r="H75" s="8"/>
    </row>
    <row r="76" spans="1:8" ht="20.25" customHeight="1">
      <c r="A76" s="48"/>
      <c r="B76" s="50" t="s">
        <v>11</v>
      </c>
      <c r="C76" s="47"/>
      <c r="D76" s="47"/>
      <c r="E76" s="47"/>
      <c r="F76" s="47"/>
      <c r="G76" s="47"/>
      <c r="H76" s="8"/>
    </row>
    <row r="77" spans="1:8" ht="20.25" customHeight="1">
      <c r="A77" s="48"/>
      <c r="B77" s="51" t="s">
        <v>12</v>
      </c>
      <c r="C77" s="47"/>
      <c r="D77" s="47"/>
      <c r="E77" s="47"/>
      <c r="F77" s="47"/>
      <c r="G77" s="47"/>
      <c r="H77" s="8"/>
    </row>
    <row r="78" spans="1:8" ht="20.25" customHeight="1">
      <c r="A78" s="48"/>
      <c r="B78" s="50" t="s">
        <v>13</v>
      </c>
      <c r="C78" s="47"/>
      <c r="D78" s="47"/>
      <c r="E78" s="47"/>
      <c r="F78" s="47"/>
      <c r="G78" s="47"/>
      <c r="H78" s="8"/>
    </row>
    <row r="79" spans="1:8" ht="20.25" customHeight="1">
      <c r="A79" s="48"/>
      <c r="B79" s="51" t="s">
        <v>14</v>
      </c>
      <c r="C79" s="47"/>
      <c r="D79" s="47"/>
      <c r="E79" s="47"/>
      <c r="F79" s="47"/>
      <c r="G79" s="47"/>
      <c r="H79" s="8"/>
    </row>
    <row r="80" spans="1:8" ht="20.25" customHeight="1">
      <c r="A80" s="48"/>
      <c r="B80" s="51" t="s">
        <v>15</v>
      </c>
      <c r="C80" s="47"/>
      <c r="D80" s="47"/>
      <c r="E80" s="47"/>
      <c r="F80" s="47"/>
      <c r="G80" s="47"/>
      <c r="H80" s="8"/>
    </row>
    <row r="81" spans="1:8" ht="21.75" customHeight="1">
      <c r="A81" s="48" t="s">
        <v>594</v>
      </c>
      <c r="B81" s="49"/>
      <c r="C81" s="47"/>
      <c r="D81" s="47"/>
      <c r="E81" s="47"/>
      <c r="F81" s="47"/>
      <c r="G81" s="47"/>
      <c r="H81" s="8"/>
    </row>
    <row r="82" spans="1:8" ht="21.75" customHeight="1">
      <c r="A82" s="49"/>
      <c r="B82" s="50" t="s">
        <v>253</v>
      </c>
      <c r="C82" s="47"/>
      <c r="D82" s="47"/>
      <c r="E82" s="47"/>
      <c r="F82" s="47"/>
      <c r="G82" s="47"/>
      <c r="H82" s="8"/>
    </row>
    <row r="83" spans="1:8" ht="21" customHeight="1">
      <c r="A83" s="49"/>
      <c r="B83" s="51" t="s">
        <v>16</v>
      </c>
      <c r="C83" s="47"/>
      <c r="D83" s="47"/>
      <c r="E83" s="47"/>
      <c r="F83" s="47"/>
      <c r="G83" s="47"/>
      <c r="H83" s="8"/>
    </row>
    <row r="84" spans="1:8" ht="21" customHeight="1">
      <c r="A84" s="49"/>
      <c r="B84" s="50" t="s">
        <v>17</v>
      </c>
      <c r="C84" s="47"/>
      <c r="D84" s="47"/>
      <c r="E84" s="47"/>
      <c r="F84" s="47"/>
      <c r="G84" s="47"/>
      <c r="H84" s="8"/>
    </row>
    <row r="85" spans="1:8" ht="21" customHeight="1">
      <c r="A85" s="49"/>
      <c r="B85" s="51" t="s">
        <v>466</v>
      </c>
      <c r="C85" s="47"/>
      <c r="D85" s="47"/>
      <c r="E85" s="47"/>
      <c r="F85" s="47"/>
      <c r="G85" s="47"/>
      <c r="H85" s="8"/>
    </row>
    <row r="86" spans="1:8" ht="21" customHeight="1">
      <c r="A86" s="49"/>
      <c r="B86" s="50" t="s">
        <v>13</v>
      </c>
      <c r="C86" s="47"/>
      <c r="D86" s="47"/>
      <c r="E86" s="47"/>
      <c r="F86" s="47"/>
      <c r="G86" s="47"/>
      <c r="H86" s="8"/>
    </row>
    <row r="87" spans="1:8" ht="21" customHeight="1">
      <c r="A87" s="49"/>
      <c r="B87" s="51" t="s">
        <v>18</v>
      </c>
      <c r="C87" s="47"/>
      <c r="D87" s="47"/>
      <c r="E87" s="47"/>
      <c r="F87" s="47"/>
      <c r="G87" s="47"/>
      <c r="H87" s="8"/>
    </row>
    <row r="88" spans="1:8" ht="21" customHeight="1">
      <c r="A88" s="49"/>
      <c r="B88" s="51" t="s">
        <v>19</v>
      </c>
      <c r="C88" s="47"/>
      <c r="D88" s="47"/>
      <c r="E88" s="47"/>
      <c r="F88" s="47"/>
      <c r="G88" s="47"/>
      <c r="H88" s="8"/>
    </row>
    <row r="89" spans="1:8" ht="21.75" customHeight="1">
      <c r="A89" s="48" t="s">
        <v>595</v>
      </c>
      <c r="B89" s="49"/>
      <c r="C89" s="47"/>
      <c r="D89" s="47"/>
      <c r="E89" s="47"/>
      <c r="F89" s="47"/>
      <c r="G89" s="47"/>
      <c r="H89" s="8"/>
    </row>
    <row r="90" spans="1:8" ht="23.25" customHeight="1">
      <c r="A90" s="48"/>
      <c r="B90" s="50" t="s">
        <v>20</v>
      </c>
      <c r="C90" s="47"/>
      <c r="D90" s="47"/>
      <c r="E90" s="47"/>
      <c r="F90" s="47"/>
      <c r="G90" s="47"/>
      <c r="H90" s="8"/>
    </row>
    <row r="91" spans="1:8" ht="23.25" customHeight="1">
      <c r="A91" s="48"/>
      <c r="B91" s="50" t="s">
        <v>21</v>
      </c>
      <c r="C91" s="47"/>
      <c r="D91" s="47"/>
      <c r="E91" s="47"/>
      <c r="F91" s="47"/>
      <c r="G91" s="47"/>
      <c r="H91" s="8"/>
    </row>
    <row r="92" spans="1:8" ht="23.25" customHeight="1">
      <c r="A92" s="48"/>
      <c r="B92" s="50" t="s">
        <v>22</v>
      </c>
      <c r="C92" s="47"/>
      <c r="D92" s="47"/>
      <c r="E92" s="47"/>
      <c r="F92" s="47"/>
      <c r="G92" s="47"/>
      <c r="H92" s="8"/>
    </row>
    <row r="93" spans="1:8" ht="21.75" customHeight="1">
      <c r="A93" s="48" t="s">
        <v>596</v>
      </c>
      <c r="B93" s="49"/>
      <c r="C93" s="47"/>
      <c r="D93" s="47"/>
      <c r="E93" s="47"/>
      <c r="F93" s="47"/>
      <c r="G93" s="47"/>
      <c r="H93" s="8"/>
    </row>
    <row r="94" spans="1:8" ht="22.5" customHeight="1">
      <c r="A94" s="48"/>
      <c r="B94" s="50" t="s">
        <v>23</v>
      </c>
      <c r="C94" s="47"/>
      <c r="D94" s="47"/>
      <c r="E94" s="47"/>
      <c r="F94" s="47"/>
      <c r="G94" s="47"/>
      <c r="H94" s="8"/>
    </row>
    <row r="95" spans="1:8" ht="22.5" customHeight="1">
      <c r="A95" s="48"/>
      <c r="B95" s="50" t="s">
        <v>24</v>
      </c>
      <c r="C95" s="47"/>
      <c r="D95" s="47"/>
      <c r="E95" s="47"/>
      <c r="F95" s="47"/>
      <c r="G95" s="47"/>
      <c r="H95" s="8"/>
    </row>
    <row r="96" spans="1:8" ht="26.25" customHeight="1">
      <c r="A96" s="46" t="s">
        <v>597</v>
      </c>
      <c r="B96" s="46"/>
      <c r="C96" s="47"/>
      <c r="D96" s="47"/>
      <c r="E96" s="47"/>
      <c r="F96" s="47"/>
      <c r="G96" s="47"/>
      <c r="H96" s="8"/>
    </row>
    <row r="97" spans="1:8" ht="21.75" customHeight="1">
      <c r="A97" s="48" t="s">
        <v>598</v>
      </c>
      <c r="B97" s="49"/>
      <c r="C97" s="47"/>
      <c r="D97" s="47"/>
      <c r="E97" s="47"/>
      <c r="F97" s="47"/>
      <c r="G97" s="47"/>
      <c r="H97" s="8"/>
    </row>
    <row r="98" spans="1:8" ht="24" customHeight="1">
      <c r="A98" s="48"/>
      <c r="B98" s="50" t="s">
        <v>462</v>
      </c>
      <c r="C98" s="47"/>
      <c r="D98" s="47"/>
      <c r="E98" s="47"/>
      <c r="F98" s="47"/>
      <c r="G98" s="47"/>
      <c r="H98" s="8"/>
    </row>
    <row r="99" spans="1:8" ht="24" customHeight="1">
      <c r="A99" s="48"/>
      <c r="B99" s="50" t="s">
        <v>578</v>
      </c>
      <c r="C99" s="47"/>
      <c r="D99" s="47"/>
      <c r="E99" s="47"/>
      <c r="F99" s="47"/>
      <c r="G99" s="47"/>
      <c r="H99" s="8"/>
    </row>
    <row r="100" spans="1:8" ht="24" customHeight="1">
      <c r="A100" s="48"/>
      <c r="B100" s="50" t="s">
        <v>579</v>
      </c>
      <c r="C100" s="47"/>
      <c r="D100" s="47"/>
      <c r="E100" s="47"/>
      <c r="F100" s="47"/>
      <c r="G100" s="47"/>
      <c r="H100" s="8"/>
    </row>
    <row r="101" spans="1:8" ht="24" customHeight="1">
      <c r="A101" s="48"/>
      <c r="B101" s="50" t="s">
        <v>254</v>
      </c>
      <c r="C101" s="47"/>
      <c r="D101" s="47"/>
      <c r="E101" s="47"/>
      <c r="F101" s="47"/>
      <c r="G101" s="47"/>
      <c r="H101" s="8"/>
    </row>
    <row r="102" spans="1:8" ht="24" customHeight="1">
      <c r="A102" s="48"/>
      <c r="B102" s="50" t="s">
        <v>255</v>
      </c>
      <c r="C102" s="47"/>
      <c r="D102" s="47"/>
      <c r="E102" s="47"/>
      <c r="F102" s="47"/>
      <c r="G102" s="47"/>
      <c r="H102" s="8"/>
    </row>
    <row r="103" spans="1:8" ht="24" customHeight="1">
      <c r="A103" s="48"/>
      <c r="B103" s="50" t="s">
        <v>256</v>
      </c>
      <c r="C103" s="47"/>
      <c r="D103" s="47"/>
      <c r="E103" s="47"/>
      <c r="F103" s="47"/>
      <c r="G103" s="47"/>
      <c r="H103" s="8"/>
    </row>
    <row r="104" spans="1:8" ht="24" customHeight="1">
      <c r="A104" s="48"/>
      <c r="B104" s="50" t="s">
        <v>257</v>
      </c>
      <c r="C104" s="47"/>
      <c r="D104" s="47"/>
      <c r="E104" s="47"/>
      <c r="F104" s="47"/>
      <c r="G104" s="47"/>
      <c r="H104" s="8"/>
    </row>
    <row r="105" spans="1:8" ht="24" customHeight="1">
      <c r="A105" s="48"/>
      <c r="B105" s="50" t="s">
        <v>258</v>
      </c>
      <c r="C105" s="47"/>
      <c r="D105" s="47"/>
      <c r="E105" s="47"/>
      <c r="F105" s="47"/>
      <c r="G105" s="47"/>
      <c r="H105" s="8"/>
    </row>
    <row r="106" spans="1:8" ht="21.75" customHeight="1">
      <c r="A106" s="48" t="s">
        <v>599</v>
      </c>
      <c r="B106" s="49"/>
      <c r="C106" s="47"/>
      <c r="D106" s="47"/>
      <c r="E106" s="47"/>
      <c r="F106" s="47"/>
      <c r="G106" s="47"/>
      <c r="H106" s="8"/>
    </row>
    <row r="107" spans="1:8" ht="21.75" customHeight="1">
      <c r="A107" s="48"/>
      <c r="B107" s="50" t="s">
        <v>25</v>
      </c>
      <c r="C107" s="47"/>
      <c r="D107" s="47"/>
      <c r="E107" s="47"/>
      <c r="F107" s="47"/>
      <c r="G107" s="47"/>
      <c r="H107" s="8"/>
    </row>
    <row r="108" spans="1:8" ht="21.75" customHeight="1">
      <c r="A108" s="48"/>
      <c r="B108" s="50" t="s">
        <v>26</v>
      </c>
      <c r="C108" s="47"/>
      <c r="D108" s="47"/>
      <c r="E108" s="47"/>
      <c r="F108" s="47"/>
      <c r="G108" s="47"/>
      <c r="H108" s="8"/>
    </row>
    <row r="109" spans="1:8" ht="25.5" customHeight="1">
      <c r="A109" s="46" t="s">
        <v>600</v>
      </c>
      <c r="B109" s="49"/>
      <c r="C109" s="47"/>
      <c r="D109" s="47"/>
      <c r="E109" s="47"/>
      <c r="F109" s="47"/>
      <c r="G109" s="47"/>
      <c r="H109" s="8"/>
    </row>
    <row r="110" spans="1:8" ht="21.75" customHeight="1">
      <c r="A110" s="50" t="s">
        <v>601</v>
      </c>
      <c r="C110" s="47"/>
      <c r="D110" s="47"/>
      <c r="E110" s="47"/>
      <c r="F110" s="47"/>
      <c r="G110" s="47"/>
      <c r="H110" s="8"/>
    </row>
    <row r="111" spans="2:8" ht="23.25" customHeight="1">
      <c r="B111" s="50" t="s">
        <v>445</v>
      </c>
      <c r="C111" s="47"/>
      <c r="D111" s="47"/>
      <c r="E111" s="47"/>
      <c r="F111" s="47"/>
      <c r="G111" s="47"/>
      <c r="H111" s="8"/>
    </row>
    <row r="112" spans="2:8" ht="23.25" customHeight="1">
      <c r="B112" s="50" t="s">
        <v>444</v>
      </c>
      <c r="C112" s="47"/>
      <c r="D112" s="47"/>
      <c r="E112" s="47"/>
      <c r="F112" s="47"/>
      <c r="G112" s="47"/>
      <c r="H112" s="8"/>
    </row>
    <row r="113" spans="1:8" ht="21.75" customHeight="1">
      <c r="A113" s="50" t="s">
        <v>602</v>
      </c>
      <c r="C113" s="47"/>
      <c r="D113" s="47"/>
      <c r="E113" s="47"/>
      <c r="F113" s="47"/>
      <c r="G113" s="47"/>
      <c r="H113" s="8"/>
    </row>
    <row r="114" spans="2:8" ht="23.25" customHeight="1">
      <c r="B114" s="50" t="s">
        <v>443</v>
      </c>
      <c r="C114" s="47"/>
      <c r="D114" s="47"/>
      <c r="E114" s="47"/>
      <c r="F114" s="47"/>
      <c r="G114" s="47"/>
      <c r="H114" s="8"/>
    </row>
    <row r="115" spans="2:8" ht="23.25" customHeight="1">
      <c r="B115" s="50" t="s">
        <v>444</v>
      </c>
      <c r="C115" s="47"/>
      <c r="D115" s="47"/>
      <c r="E115" s="47"/>
      <c r="F115" s="47"/>
      <c r="G115" s="47"/>
      <c r="H115" s="8"/>
    </row>
    <row r="116" spans="1:8" ht="21.75" customHeight="1">
      <c r="A116" s="50" t="s">
        <v>603</v>
      </c>
      <c r="B116" s="49"/>
      <c r="C116" s="47"/>
      <c r="D116" s="47"/>
      <c r="E116" s="47"/>
      <c r="F116" s="47"/>
      <c r="G116" s="47"/>
      <c r="H116" s="8"/>
    </row>
    <row r="117" spans="1:8" ht="23.25" customHeight="1">
      <c r="A117" s="49"/>
      <c r="B117" s="50" t="s">
        <v>27</v>
      </c>
      <c r="C117" s="47"/>
      <c r="D117" s="47"/>
      <c r="E117" s="47"/>
      <c r="F117" s="47"/>
      <c r="G117" s="47"/>
      <c r="H117" s="8"/>
    </row>
    <row r="118" spans="1:8" ht="23.25" customHeight="1">
      <c r="A118" s="49"/>
      <c r="B118" s="50" t="s">
        <v>28</v>
      </c>
      <c r="C118" s="47"/>
      <c r="D118" s="47"/>
      <c r="E118" s="47"/>
      <c r="F118" s="47"/>
      <c r="G118" s="47"/>
      <c r="H118" s="8"/>
    </row>
    <row r="119" spans="1:8" ht="23.25" customHeight="1">
      <c r="A119" s="49"/>
      <c r="B119" s="50" t="s">
        <v>259</v>
      </c>
      <c r="C119" s="47"/>
      <c r="D119" s="47"/>
      <c r="E119" s="47"/>
      <c r="F119" s="47"/>
      <c r="G119" s="47"/>
      <c r="H119" s="8"/>
    </row>
    <row r="120" spans="1:8" ht="23.25" customHeight="1">
      <c r="A120" s="49"/>
      <c r="B120" s="50" t="s">
        <v>414</v>
      </c>
      <c r="C120" s="47"/>
      <c r="D120" s="47"/>
      <c r="E120" s="47"/>
      <c r="F120" s="47"/>
      <c r="G120" s="47"/>
      <c r="H120" s="8"/>
    </row>
    <row r="121" spans="1:8" ht="23.25" customHeight="1">
      <c r="A121" s="49"/>
      <c r="B121" s="50" t="s">
        <v>260</v>
      </c>
      <c r="C121" s="47"/>
      <c r="D121" s="47"/>
      <c r="E121" s="47"/>
      <c r="F121" s="47"/>
      <c r="G121" s="47"/>
      <c r="H121" s="8"/>
    </row>
    <row r="122" spans="1:8" ht="27" customHeight="1">
      <c r="A122" s="46" t="s">
        <v>604</v>
      </c>
      <c r="B122" s="46"/>
      <c r="C122" s="47"/>
      <c r="D122" s="47"/>
      <c r="E122" s="47"/>
      <c r="F122" s="47"/>
      <c r="G122" s="47"/>
      <c r="H122" s="8"/>
    </row>
    <row r="123" spans="2:8" ht="23.25" customHeight="1">
      <c r="B123" s="51" t="s">
        <v>581</v>
      </c>
      <c r="E123" s="47"/>
      <c r="F123" s="47"/>
      <c r="G123" s="47"/>
      <c r="H123" s="8"/>
    </row>
    <row r="124" spans="2:8" ht="23.25" customHeight="1">
      <c r="B124" s="50" t="s">
        <v>580</v>
      </c>
      <c r="E124" s="47"/>
      <c r="F124" s="47"/>
      <c r="G124" s="47"/>
      <c r="H124" s="8"/>
    </row>
    <row r="125" spans="2:8" ht="23.25" customHeight="1">
      <c r="B125" s="51" t="s">
        <v>583</v>
      </c>
      <c r="E125" s="47"/>
      <c r="F125" s="47"/>
      <c r="G125" s="47"/>
      <c r="H125" s="8"/>
    </row>
    <row r="126" spans="2:8" ht="23.25" customHeight="1">
      <c r="B126" s="50" t="s">
        <v>582</v>
      </c>
      <c r="E126" s="47"/>
      <c r="F126" s="47"/>
      <c r="G126" s="47"/>
      <c r="H126" s="8"/>
    </row>
    <row r="127" spans="2:8" ht="23.25" customHeight="1">
      <c r="B127" s="50" t="s">
        <v>261</v>
      </c>
      <c r="E127" s="47"/>
      <c r="F127" s="47"/>
      <c r="G127" s="47"/>
      <c r="H127" s="8"/>
    </row>
    <row r="128" spans="2:8" ht="23.25" customHeight="1">
      <c r="B128" s="50" t="s">
        <v>262</v>
      </c>
      <c r="E128" s="47"/>
      <c r="F128" s="47"/>
      <c r="G128" s="47"/>
      <c r="H128" s="8"/>
    </row>
    <row r="129" spans="1:8" ht="26.25" customHeight="1">
      <c r="A129" s="40" t="s">
        <v>605</v>
      </c>
      <c r="E129" s="47"/>
      <c r="F129" s="47"/>
      <c r="G129" s="47"/>
      <c r="H129" s="8"/>
    </row>
    <row r="130" spans="1:8" ht="21.75" customHeight="1">
      <c r="A130" s="2" t="s">
        <v>606</v>
      </c>
      <c r="E130" s="47"/>
      <c r="F130" s="47"/>
      <c r="G130" s="47"/>
      <c r="H130" s="8"/>
    </row>
    <row r="131" spans="2:8" ht="23.25" customHeight="1">
      <c r="B131" s="41" t="s">
        <v>29</v>
      </c>
      <c r="E131" s="47"/>
      <c r="F131" s="47"/>
      <c r="G131" s="47"/>
      <c r="H131" s="8"/>
    </row>
    <row r="132" spans="2:8" ht="23.25" customHeight="1">
      <c r="B132" s="41" t="s">
        <v>30</v>
      </c>
      <c r="E132" s="47"/>
      <c r="F132" s="47"/>
      <c r="G132" s="47"/>
      <c r="H132" s="8"/>
    </row>
    <row r="133" spans="2:8" ht="23.25" customHeight="1">
      <c r="B133" s="41" t="s">
        <v>31</v>
      </c>
      <c r="E133" s="47"/>
      <c r="F133" s="47"/>
      <c r="G133" s="47"/>
      <c r="H133" s="8"/>
    </row>
    <row r="134" spans="2:8" ht="23.25" customHeight="1">
      <c r="B134" s="41" t="s">
        <v>32</v>
      </c>
      <c r="E134" s="47"/>
      <c r="F134" s="47"/>
      <c r="G134" s="47"/>
      <c r="H134" s="8"/>
    </row>
    <row r="135" spans="1:8" ht="21.75" customHeight="1">
      <c r="A135" s="2" t="s">
        <v>607</v>
      </c>
      <c r="E135" s="47"/>
      <c r="F135" s="47"/>
      <c r="G135" s="47"/>
      <c r="H135" s="8"/>
    </row>
    <row r="136" spans="2:8" ht="24.75" customHeight="1">
      <c r="B136" s="41" t="s">
        <v>33</v>
      </c>
      <c r="E136" s="47"/>
      <c r="F136" s="47"/>
      <c r="G136" s="47"/>
      <c r="H136" s="8"/>
    </row>
    <row r="137" spans="2:8" ht="24.75" customHeight="1">
      <c r="B137" s="41" t="s">
        <v>34</v>
      </c>
      <c r="E137" s="47"/>
      <c r="F137" s="47"/>
      <c r="G137" s="47"/>
      <c r="H137" s="8"/>
    </row>
    <row r="138" spans="1:8" ht="27.75" customHeight="1">
      <c r="A138" s="40" t="s">
        <v>608</v>
      </c>
      <c r="E138" s="47"/>
      <c r="F138" s="47"/>
      <c r="G138" s="47"/>
      <c r="H138" s="8"/>
    </row>
    <row r="139" spans="2:8" ht="23.25" customHeight="1">
      <c r="B139" s="41" t="s">
        <v>617</v>
      </c>
      <c r="E139" s="47"/>
      <c r="F139" s="47"/>
      <c r="G139" s="47"/>
      <c r="H139" s="8"/>
    </row>
    <row r="140" spans="1:8" ht="27.75" customHeight="1">
      <c r="A140" s="46" t="s">
        <v>609</v>
      </c>
      <c r="B140" s="48"/>
      <c r="C140" s="47"/>
      <c r="D140" s="47"/>
      <c r="E140" s="47"/>
      <c r="F140" s="47"/>
      <c r="G140" s="47"/>
      <c r="H140" s="8"/>
    </row>
    <row r="141" spans="1:8" ht="23.25" customHeight="1">
      <c r="A141" s="48" t="s">
        <v>610</v>
      </c>
      <c r="B141" s="50"/>
      <c r="C141" s="47"/>
      <c r="D141" s="47"/>
      <c r="E141" s="47"/>
      <c r="F141" s="47"/>
      <c r="G141" s="47"/>
      <c r="H141" s="8"/>
    </row>
    <row r="142" spans="1:8" ht="23.25" customHeight="1">
      <c r="A142" s="50"/>
      <c r="B142" s="51" t="s">
        <v>35</v>
      </c>
      <c r="C142" s="47"/>
      <c r="D142" s="47"/>
      <c r="E142" s="47"/>
      <c r="F142" s="47"/>
      <c r="G142" s="47"/>
      <c r="H142" s="8"/>
    </row>
    <row r="143" spans="1:8" ht="23.25" customHeight="1">
      <c r="A143" s="46"/>
      <c r="B143" s="50" t="s">
        <v>36</v>
      </c>
      <c r="C143" s="47"/>
      <c r="D143" s="47"/>
      <c r="E143" s="47"/>
      <c r="F143" s="47"/>
      <c r="G143" s="47"/>
      <c r="H143" s="8"/>
    </row>
    <row r="144" spans="1:8" ht="23.25" customHeight="1">
      <c r="A144" s="46"/>
      <c r="B144" s="51" t="s">
        <v>37</v>
      </c>
      <c r="C144" s="47"/>
      <c r="D144" s="47"/>
      <c r="E144" s="47"/>
      <c r="F144" s="47"/>
      <c r="G144" s="47"/>
      <c r="H144" s="8"/>
    </row>
    <row r="145" spans="1:8" ht="23.25" customHeight="1">
      <c r="A145" s="46"/>
      <c r="B145" s="50" t="s">
        <v>38</v>
      </c>
      <c r="C145" s="47"/>
      <c r="D145" s="47"/>
      <c r="E145" s="47"/>
      <c r="F145" s="47"/>
      <c r="G145" s="47"/>
      <c r="H145" s="8"/>
    </row>
    <row r="146" spans="1:8" ht="23.25" customHeight="1">
      <c r="A146" s="46"/>
      <c r="B146" s="51" t="s">
        <v>263</v>
      </c>
      <c r="C146" s="47"/>
      <c r="D146" s="47"/>
      <c r="E146" s="47"/>
      <c r="F146" s="47"/>
      <c r="G146" s="47"/>
      <c r="H146" s="8"/>
    </row>
    <row r="147" spans="1:8" ht="23.25" customHeight="1">
      <c r="A147" s="46"/>
      <c r="B147" s="51" t="s">
        <v>264</v>
      </c>
      <c r="C147" s="47"/>
      <c r="D147" s="47"/>
      <c r="E147" s="47"/>
      <c r="F147" s="47"/>
      <c r="G147" s="47"/>
      <c r="H147" s="8"/>
    </row>
    <row r="148" spans="1:8" ht="23.25" customHeight="1">
      <c r="A148" s="49"/>
      <c r="B148" s="51" t="s">
        <v>265</v>
      </c>
      <c r="C148" s="47"/>
      <c r="D148" s="47"/>
      <c r="E148" s="47"/>
      <c r="F148" s="47"/>
      <c r="G148" s="47"/>
      <c r="H148" s="8"/>
    </row>
    <row r="149" spans="1:8" ht="23.25" customHeight="1">
      <c r="A149" s="48" t="s">
        <v>611</v>
      </c>
      <c r="B149" s="51"/>
      <c r="C149" s="47"/>
      <c r="D149" s="47"/>
      <c r="E149" s="47"/>
      <c r="F149" s="47"/>
      <c r="G149" s="47"/>
      <c r="H149" s="8"/>
    </row>
    <row r="150" spans="1:8" ht="23.25" customHeight="1">
      <c r="A150" s="49"/>
      <c r="B150" s="50" t="s">
        <v>39</v>
      </c>
      <c r="C150" s="47"/>
      <c r="D150" s="47"/>
      <c r="E150" s="47"/>
      <c r="F150" s="47"/>
      <c r="G150" s="47"/>
      <c r="H150" s="8"/>
    </row>
    <row r="151" spans="1:8" ht="23.25" customHeight="1">
      <c r="A151" s="49"/>
      <c r="B151" s="50" t="s">
        <v>40</v>
      </c>
      <c r="C151" s="47"/>
      <c r="D151" s="47"/>
      <c r="E151" s="47"/>
      <c r="F151" s="47"/>
      <c r="G151" s="47"/>
      <c r="H151" s="8"/>
    </row>
    <row r="152" spans="1:8" ht="23.25" customHeight="1">
      <c r="A152" s="49"/>
      <c r="B152" s="51" t="s">
        <v>266</v>
      </c>
      <c r="C152" s="47"/>
      <c r="D152" s="47"/>
      <c r="E152" s="47"/>
      <c r="F152" s="47"/>
      <c r="G152" s="47"/>
      <c r="H152" s="8"/>
    </row>
    <row r="153" spans="1:8" ht="23.25" customHeight="1">
      <c r="A153" s="49"/>
      <c r="B153" s="51" t="s">
        <v>263</v>
      </c>
      <c r="C153" s="47"/>
      <c r="D153" s="47"/>
      <c r="E153" s="47"/>
      <c r="F153" s="47"/>
      <c r="G153" s="47"/>
      <c r="H153" s="8"/>
    </row>
    <row r="154" spans="1:8" ht="23.25" customHeight="1">
      <c r="A154" s="49"/>
      <c r="B154" s="50" t="s">
        <v>463</v>
      </c>
      <c r="C154" s="47"/>
      <c r="D154" s="47"/>
      <c r="E154" s="47"/>
      <c r="F154" s="47"/>
      <c r="G154" s="47"/>
      <c r="H154" s="8"/>
    </row>
    <row r="155" spans="1:8" ht="24" customHeight="1">
      <c r="A155" s="46" t="s">
        <v>612</v>
      </c>
      <c r="B155" s="50"/>
      <c r="C155" s="47"/>
      <c r="D155" s="47"/>
      <c r="E155" s="47"/>
      <c r="F155" s="47"/>
      <c r="G155" s="47"/>
      <c r="H155" s="8"/>
    </row>
    <row r="156" spans="1:10" s="41" customFormat="1" ht="25.5" customHeight="1">
      <c r="A156" s="46" t="s">
        <v>613</v>
      </c>
      <c r="B156" s="50"/>
      <c r="C156" s="47"/>
      <c r="D156" s="47"/>
      <c r="E156" s="47"/>
      <c r="F156" s="47"/>
      <c r="G156" s="47"/>
      <c r="H156" s="45"/>
      <c r="J156" s="40"/>
    </row>
    <row r="157" spans="1:10" s="41" customFormat="1" ht="21.75" customHeight="1">
      <c r="A157" s="46" t="s">
        <v>267</v>
      </c>
      <c r="B157" s="50"/>
      <c r="C157" s="47"/>
      <c r="D157" s="47"/>
      <c r="E157" s="47"/>
      <c r="F157" s="47"/>
      <c r="G157" s="47"/>
      <c r="H157" s="45"/>
      <c r="J157" s="40"/>
    </row>
    <row r="158" spans="1:10" s="41" customFormat="1" ht="24" customHeight="1">
      <c r="A158" s="46" t="s">
        <v>614</v>
      </c>
      <c r="B158" s="50"/>
      <c r="C158" s="47"/>
      <c r="D158" s="47"/>
      <c r="E158" s="47"/>
      <c r="F158" s="47"/>
      <c r="G158" s="47"/>
      <c r="H158" s="45"/>
      <c r="J158" s="40"/>
    </row>
    <row r="159" spans="1:10" s="41" customFormat="1" ht="27" customHeight="1">
      <c r="A159" s="46" t="s">
        <v>615</v>
      </c>
      <c r="B159" s="50"/>
      <c r="C159" s="47"/>
      <c r="D159" s="47"/>
      <c r="E159" s="47"/>
      <c r="F159" s="47"/>
      <c r="G159" s="47"/>
      <c r="H159" s="45"/>
      <c r="J159" s="40"/>
    </row>
    <row r="160" spans="1:8" ht="10.5" customHeight="1">
      <c r="A160" s="52"/>
      <c r="B160" s="50"/>
      <c r="C160" s="47"/>
      <c r="D160" s="47"/>
      <c r="E160" s="47"/>
      <c r="F160" s="47"/>
      <c r="G160" s="47"/>
      <c r="H160" s="8"/>
    </row>
    <row r="161" spans="1:2" ht="20.25" customHeight="1">
      <c r="A161" s="7" t="s">
        <v>268</v>
      </c>
      <c r="B161" s="7"/>
    </row>
    <row r="162" spans="1:2" ht="15" customHeight="1">
      <c r="A162" s="7"/>
      <c r="B162" s="7"/>
    </row>
    <row r="163" spans="1:5" ht="22.5" customHeight="1">
      <c r="A163" s="53" t="s">
        <v>269</v>
      </c>
      <c r="B163" s="53"/>
      <c r="C163" s="17" t="s">
        <v>166</v>
      </c>
      <c r="D163" s="17" t="s">
        <v>100</v>
      </c>
      <c r="E163" s="1"/>
    </row>
    <row r="164" spans="1:4" ht="23.25" customHeight="1">
      <c r="A164" s="54"/>
      <c r="B164" s="55" t="s">
        <v>270</v>
      </c>
      <c r="C164" s="11">
        <v>41634107</v>
      </c>
      <c r="D164" s="11">
        <v>92220229</v>
      </c>
    </row>
    <row r="165" spans="1:4" ht="23.25" customHeight="1">
      <c r="A165" s="56"/>
      <c r="B165" s="57" t="s">
        <v>271</v>
      </c>
      <c r="C165" s="12">
        <v>1187791684</v>
      </c>
      <c r="D165" s="12">
        <v>6385926844</v>
      </c>
    </row>
    <row r="166" spans="1:4" ht="23.25" customHeight="1">
      <c r="A166" s="56"/>
      <c r="B166" s="57" t="s">
        <v>415</v>
      </c>
      <c r="C166" s="12">
        <f>C167+C168</f>
        <v>6000000000</v>
      </c>
      <c r="D166" s="12">
        <f>D167+D168</f>
        <v>5000000000</v>
      </c>
    </row>
    <row r="167" spans="1:4" ht="23.25" customHeight="1">
      <c r="A167" s="56"/>
      <c r="B167" s="14" t="s">
        <v>41</v>
      </c>
      <c r="C167" s="14">
        <v>0</v>
      </c>
      <c r="D167" s="14">
        <v>0</v>
      </c>
    </row>
    <row r="168" spans="1:4" ht="23.25" customHeight="1">
      <c r="A168" s="56"/>
      <c r="B168" s="14" t="s">
        <v>42</v>
      </c>
      <c r="C168" s="14">
        <v>6000000000</v>
      </c>
      <c r="D168" s="14">
        <v>5000000000</v>
      </c>
    </row>
    <row r="169" spans="1:4" ht="23.25" customHeight="1">
      <c r="A169" s="56"/>
      <c r="B169" s="57" t="s">
        <v>272</v>
      </c>
      <c r="C169" s="12">
        <v>0</v>
      </c>
      <c r="D169" s="12">
        <v>0</v>
      </c>
    </row>
    <row r="170" spans="1:4" ht="22.5" customHeight="1">
      <c r="A170" s="58"/>
      <c r="B170" s="59" t="s">
        <v>273</v>
      </c>
      <c r="C170" s="60">
        <f>SUM(C164:C166)</f>
        <v>7229425791</v>
      </c>
      <c r="D170" s="61">
        <f>SUM(D164:D166)</f>
        <v>11478147073</v>
      </c>
    </row>
    <row r="171" spans="1:4" ht="18" customHeight="1">
      <c r="A171" s="62"/>
      <c r="B171" s="24"/>
      <c r="C171" s="25"/>
      <c r="D171" s="25"/>
    </row>
    <row r="172" spans="1:4" ht="21.75" customHeight="1">
      <c r="A172" s="63" t="s">
        <v>573</v>
      </c>
      <c r="B172" s="17"/>
      <c r="C172" s="17" t="str">
        <f>C163</f>
        <v>Sè cuèi kú</v>
      </c>
      <c r="D172" s="17" t="str">
        <f>D163</f>
        <v>Sè ®Çu n¨m</v>
      </c>
    </row>
    <row r="173" spans="1:4" ht="21.75" customHeight="1">
      <c r="A173" s="64"/>
      <c r="B173" s="65" t="s">
        <v>467</v>
      </c>
      <c r="C173" s="11">
        <v>2000000000</v>
      </c>
      <c r="D173" s="11">
        <v>1000000000</v>
      </c>
    </row>
    <row r="174" spans="1:4" ht="21.75" customHeight="1">
      <c r="A174" s="66"/>
      <c r="B174" s="67" t="s">
        <v>274</v>
      </c>
      <c r="C174" s="68">
        <v>200000000</v>
      </c>
      <c r="D174" s="68">
        <v>400000000</v>
      </c>
    </row>
    <row r="175" spans="1:4" ht="23.25" customHeight="1">
      <c r="A175" s="58"/>
      <c r="B175" s="59" t="s">
        <v>273</v>
      </c>
      <c r="C175" s="60">
        <f>SUM(C173:C174)</f>
        <v>2200000000</v>
      </c>
      <c r="D175" s="61">
        <f>SUM(D172:D174)</f>
        <v>1400000000</v>
      </c>
    </row>
    <row r="176" spans="1:4" ht="18.75" customHeight="1">
      <c r="A176" s="46"/>
      <c r="B176" s="24"/>
      <c r="C176" s="24"/>
      <c r="D176" s="24"/>
    </row>
    <row r="177" spans="1:4" ht="22.5" customHeight="1">
      <c r="A177" s="69" t="s">
        <v>275</v>
      </c>
      <c r="B177" s="70"/>
      <c r="C177" s="17" t="str">
        <f>C163</f>
        <v>Sè cuèi kú</v>
      </c>
      <c r="D177" s="17" t="str">
        <f>D163</f>
        <v>Sè ®Çu n¨m</v>
      </c>
    </row>
    <row r="178" spans="1:4" ht="23.25" customHeight="1">
      <c r="A178" s="54"/>
      <c r="B178" s="55" t="s">
        <v>276</v>
      </c>
      <c r="C178" s="71">
        <v>6700000</v>
      </c>
      <c r="D178" s="71">
        <v>21520000</v>
      </c>
    </row>
    <row r="179" spans="1:4" ht="23.25" customHeight="1">
      <c r="A179" s="56"/>
      <c r="B179" s="57" t="s">
        <v>468</v>
      </c>
      <c r="C179" s="12">
        <v>69383400</v>
      </c>
      <c r="D179" s="12">
        <v>6819320</v>
      </c>
    </row>
    <row r="180" spans="1:4" ht="22.5" customHeight="1">
      <c r="A180" s="56"/>
      <c r="B180" s="57" t="s">
        <v>277</v>
      </c>
      <c r="C180" s="12">
        <f>SUM(C181:C182)</f>
        <v>53453841</v>
      </c>
      <c r="D180" s="12">
        <f>SUM(D181:D182)</f>
        <v>34967670</v>
      </c>
    </row>
    <row r="181" spans="1:4" ht="23.25" customHeight="1">
      <c r="A181" s="56"/>
      <c r="B181" s="14" t="s">
        <v>425</v>
      </c>
      <c r="C181" s="14">
        <v>16586000</v>
      </c>
      <c r="D181" s="14">
        <v>34967670</v>
      </c>
    </row>
    <row r="182" spans="1:4" ht="23.25" customHeight="1">
      <c r="A182" s="56"/>
      <c r="B182" s="14" t="s">
        <v>563</v>
      </c>
      <c r="C182" s="14">
        <v>36867841</v>
      </c>
      <c r="D182" s="14">
        <v>0</v>
      </c>
    </row>
    <row r="183" spans="1:4" ht="24.75" customHeight="1">
      <c r="A183" s="58"/>
      <c r="B183" s="17" t="s">
        <v>273</v>
      </c>
      <c r="C183" s="61">
        <f>SUM(C178:C180)</f>
        <v>129537241</v>
      </c>
      <c r="D183" s="61">
        <f>SUM(D178:D180)</f>
        <v>63306990</v>
      </c>
    </row>
    <row r="184" spans="1:4" ht="21" customHeight="1">
      <c r="A184" s="62"/>
      <c r="B184" s="24"/>
      <c r="C184" s="25"/>
      <c r="D184" s="25"/>
    </row>
    <row r="185" spans="1:4" ht="23.25" customHeight="1">
      <c r="A185" s="69" t="s">
        <v>616</v>
      </c>
      <c r="B185" s="72"/>
      <c r="C185" s="17" t="str">
        <f>C177</f>
        <v>Sè cuèi kú</v>
      </c>
      <c r="D185" s="17" t="str">
        <f>D177</f>
        <v>Sè ®Çu n¨m</v>
      </c>
    </row>
    <row r="186" spans="1:4" ht="24" customHeight="1">
      <c r="A186" s="64"/>
      <c r="B186" s="65" t="s">
        <v>278</v>
      </c>
      <c r="C186" s="11">
        <v>0</v>
      </c>
      <c r="D186" s="11">
        <v>0</v>
      </c>
    </row>
    <row r="187" spans="1:4" ht="24.75" customHeight="1">
      <c r="A187" s="56"/>
      <c r="B187" s="57" t="s">
        <v>279</v>
      </c>
      <c r="C187" s="12">
        <v>19650202247</v>
      </c>
      <c r="D187" s="12">
        <v>15998180459</v>
      </c>
    </row>
    <row r="188" spans="1:4" ht="24.75" customHeight="1">
      <c r="A188" s="56"/>
      <c r="B188" s="57" t="s">
        <v>280</v>
      </c>
      <c r="C188" s="12">
        <v>682761233</v>
      </c>
      <c r="D188" s="12">
        <v>598884889</v>
      </c>
    </row>
    <row r="189" spans="1:4" ht="24.75" customHeight="1">
      <c r="A189" s="56"/>
      <c r="B189" s="57" t="s">
        <v>513</v>
      </c>
      <c r="C189" s="12">
        <v>2760441797</v>
      </c>
      <c r="D189" s="12">
        <v>3340062249</v>
      </c>
    </row>
    <row r="190" spans="1:4" ht="24.75" customHeight="1">
      <c r="A190" s="56"/>
      <c r="B190" s="57" t="s">
        <v>281</v>
      </c>
      <c r="C190" s="12">
        <v>8752133751</v>
      </c>
      <c r="D190" s="12">
        <v>10465424660</v>
      </c>
    </row>
    <row r="191" spans="1:4" ht="24.75" customHeight="1">
      <c r="A191" s="56"/>
      <c r="B191" s="57" t="s">
        <v>282</v>
      </c>
      <c r="C191" s="12">
        <v>2241772163</v>
      </c>
      <c r="D191" s="12">
        <v>8521052771</v>
      </c>
    </row>
    <row r="192" spans="1:4" ht="24.75" customHeight="1">
      <c r="A192" s="56"/>
      <c r="B192" s="57" t="s">
        <v>283</v>
      </c>
      <c r="C192" s="12">
        <v>890758063</v>
      </c>
      <c r="D192" s="12">
        <v>487079466</v>
      </c>
    </row>
    <row r="193" spans="1:4" ht="24.75" customHeight="1">
      <c r="A193" s="73"/>
      <c r="B193" s="74" t="s">
        <v>284</v>
      </c>
      <c r="C193" s="75">
        <v>0</v>
      </c>
      <c r="D193" s="75">
        <v>0</v>
      </c>
    </row>
    <row r="194" spans="1:4" ht="25.5" customHeight="1">
      <c r="A194" s="76"/>
      <c r="B194" s="17" t="s">
        <v>285</v>
      </c>
      <c r="C194" s="61">
        <f>SUM(C186:C193)</f>
        <v>34978069254</v>
      </c>
      <c r="D194" s="61">
        <f>SUM(D186:D193)</f>
        <v>39410684494</v>
      </c>
    </row>
    <row r="195" spans="1:4" ht="28.5" customHeight="1">
      <c r="A195" s="78" t="s">
        <v>43</v>
      </c>
      <c r="B195" s="34"/>
      <c r="C195" s="122"/>
      <c r="D195" s="133"/>
    </row>
    <row r="196" spans="1:4" ht="25.5" customHeight="1">
      <c r="A196" s="381" t="s">
        <v>44</v>
      </c>
      <c r="B196" s="382"/>
      <c r="C196" s="382"/>
      <c r="D196" s="382"/>
    </row>
    <row r="197" spans="1:5" ht="22.5" customHeight="1">
      <c r="A197" s="66"/>
      <c r="B197" s="80"/>
      <c r="C197" s="80"/>
      <c r="D197" s="80"/>
      <c r="E197" s="8"/>
    </row>
    <row r="198" spans="1:5" ht="20.25" customHeight="1">
      <c r="A198" s="69" t="s">
        <v>286</v>
      </c>
      <c r="B198" s="72"/>
      <c r="C198" s="17" t="str">
        <f>C185</f>
        <v>Sè cuèi kú</v>
      </c>
      <c r="D198" s="17" t="str">
        <f>D185</f>
        <v>Sè ®Çu n¨m</v>
      </c>
      <c r="E198" s="1"/>
    </row>
    <row r="199" spans="1:5" ht="24" customHeight="1">
      <c r="A199" s="217"/>
      <c r="B199" s="254" t="s">
        <v>453</v>
      </c>
      <c r="C199" s="255">
        <v>905053553</v>
      </c>
      <c r="D199" s="255">
        <v>508506697</v>
      </c>
      <c r="E199" s="1"/>
    </row>
    <row r="200" spans="1:5" ht="24" customHeight="1">
      <c r="A200" s="23"/>
      <c r="B200" s="32" t="s">
        <v>556</v>
      </c>
      <c r="C200" s="256">
        <v>4542113</v>
      </c>
      <c r="D200" s="256">
        <v>4542113</v>
      </c>
      <c r="E200" s="1"/>
    </row>
    <row r="201" spans="1:4" ht="24" customHeight="1">
      <c r="A201" s="257"/>
      <c r="B201" s="111" t="s">
        <v>625</v>
      </c>
      <c r="C201" s="33">
        <v>265383525</v>
      </c>
      <c r="D201" s="33">
        <v>1132218799</v>
      </c>
    </row>
    <row r="202" spans="1:4" ht="24" customHeight="1">
      <c r="A202" s="219"/>
      <c r="B202" s="17" t="s">
        <v>273</v>
      </c>
      <c r="C202" s="77">
        <f>SUM(C199:C201)</f>
        <v>1174979191</v>
      </c>
      <c r="D202" s="77">
        <f>SUM(D199:D201)</f>
        <v>1645267609</v>
      </c>
    </row>
    <row r="203" spans="1:4" ht="23.25" customHeight="1">
      <c r="A203" s="46"/>
      <c r="B203" s="24"/>
      <c r="C203" s="8"/>
      <c r="D203" s="8"/>
    </row>
    <row r="204" spans="1:4" ht="20.25" customHeight="1">
      <c r="A204" s="69" t="s">
        <v>406</v>
      </c>
      <c r="B204" s="72"/>
      <c r="C204" s="17" t="str">
        <f>C198</f>
        <v>Sè cuèi kú</v>
      </c>
      <c r="D204" s="17" t="str">
        <f>D198</f>
        <v>Sè ®Çu n¨m</v>
      </c>
    </row>
    <row r="205" spans="1:4" ht="25.5" customHeight="1">
      <c r="A205" s="217"/>
      <c r="B205" s="55" t="s">
        <v>454</v>
      </c>
      <c r="C205" s="12">
        <v>0</v>
      </c>
      <c r="D205" s="12">
        <v>0</v>
      </c>
    </row>
    <row r="206" spans="1:4" ht="24" customHeight="1">
      <c r="A206" s="215"/>
      <c r="B206" s="65" t="s">
        <v>455</v>
      </c>
      <c r="C206" s="15">
        <v>830591690</v>
      </c>
      <c r="D206" s="15">
        <v>480158020</v>
      </c>
    </row>
    <row r="207" spans="1:4" ht="24.75" customHeight="1">
      <c r="A207" s="219"/>
      <c r="B207" s="17" t="s">
        <v>273</v>
      </c>
      <c r="C207" s="77">
        <f>SUM(C205:C206)</f>
        <v>830591690</v>
      </c>
      <c r="D207" s="77">
        <f>SUM(D205:D206)</f>
        <v>480158020</v>
      </c>
    </row>
    <row r="208" spans="1:4" ht="9.75" customHeight="1">
      <c r="A208" s="46"/>
      <c r="B208" s="24"/>
      <c r="C208" s="8"/>
      <c r="D208" s="8"/>
    </row>
    <row r="209" spans="1:4" ht="18" customHeight="1">
      <c r="A209" s="46" t="s">
        <v>408</v>
      </c>
      <c r="B209" s="24"/>
      <c r="C209" s="8"/>
      <c r="D209" s="8"/>
    </row>
    <row r="210" spans="1:5" ht="27.75" customHeight="1">
      <c r="A210" s="82" t="s">
        <v>407</v>
      </c>
      <c r="B210" s="82"/>
      <c r="C210" s="24"/>
      <c r="D210" s="24"/>
      <c r="E210" s="1"/>
    </row>
    <row r="211" ht="24" customHeight="1">
      <c r="A211" s="40" t="s">
        <v>409</v>
      </c>
    </row>
    <row r="212" ht="12.75" customHeight="1">
      <c r="A212" s="40"/>
    </row>
    <row r="213" spans="1:8" ht="15.75">
      <c r="A213" s="83"/>
      <c r="B213" s="84"/>
      <c r="C213" s="84" t="s">
        <v>287</v>
      </c>
      <c r="D213" s="84" t="s">
        <v>288</v>
      </c>
      <c r="E213" s="84" t="s">
        <v>289</v>
      </c>
      <c r="F213" s="84" t="s">
        <v>290</v>
      </c>
      <c r="G213" s="84" t="s">
        <v>291</v>
      </c>
      <c r="H213" s="84"/>
    </row>
    <row r="214" spans="1:8" ht="15.75">
      <c r="A214" s="85" t="s">
        <v>292</v>
      </c>
      <c r="B214" s="85" t="s">
        <v>293</v>
      </c>
      <c r="C214" s="85" t="s">
        <v>289</v>
      </c>
      <c r="D214" s="85" t="s">
        <v>294</v>
      </c>
      <c r="E214" s="85" t="s">
        <v>642</v>
      </c>
      <c r="F214" s="85" t="s">
        <v>295</v>
      </c>
      <c r="G214" s="85" t="s">
        <v>296</v>
      </c>
      <c r="H214" s="85" t="s">
        <v>94</v>
      </c>
    </row>
    <row r="215" spans="1:8" ht="15.75">
      <c r="A215" s="86"/>
      <c r="B215" s="87"/>
      <c r="C215" s="87"/>
      <c r="D215" s="19" t="s">
        <v>297</v>
      </c>
      <c r="E215" s="19" t="s">
        <v>643</v>
      </c>
      <c r="F215" s="87"/>
      <c r="G215" s="87"/>
      <c r="H215" s="87"/>
    </row>
    <row r="216" spans="1:8" ht="21" customHeight="1">
      <c r="A216" s="88" t="s">
        <v>298</v>
      </c>
      <c r="B216" s="89"/>
      <c r="C216" s="89"/>
      <c r="D216" s="89"/>
      <c r="E216" s="89"/>
      <c r="F216" s="89"/>
      <c r="G216" s="89"/>
      <c r="H216" s="89"/>
    </row>
    <row r="217" spans="1:8" ht="18.75" customHeight="1">
      <c r="A217" s="21" t="s">
        <v>299</v>
      </c>
      <c r="B217" s="28">
        <v>51592679966</v>
      </c>
      <c r="C217" s="28">
        <v>22527234718</v>
      </c>
      <c r="D217" s="28">
        <v>8850421567</v>
      </c>
      <c r="E217" s="28">
        <v>712923190</v>
      </c>
      <c r="F217" s="28">
        <v>0</v>
      </c>
      <c r="G217" s="28">
        <f>SUM(B217:F217)</f>
        <v>83683259441</v>
      </c>
      <c r="H217" s="28"/>
    </row>
    <row r="218" spans="1:8" ht="18.75" customHeight="1">
      <c r="A218" s="90" t="s">
        <v>300</v>
      </c>
      <c r="B218" s="31"/>
      <c r="C218" s="31">
        <v>902745000</v>
      </c>
      <c r="D218" s="31">
        <v>172727273</v>
      </c>
      <c r="E218" s="31">
        <v>225963182</v>
      </c>
      <c r="F218" s="31"/>
      <c r="G218" s="91">
        <f aca="true" t="shared" si="0" ref="G218:G223">SUM(B218:F218)</f>
        <v>1301435455</v>
      </c>
      <c r="H218" s="29"/>
    </row>
    <row r="219" spans="1:8" ht="17.25" customHeight="1">
      <c r="A219" s="90" t="s">
        <v>301</v>
      </c>
      <c r="B219" s="222">
        <v>2932543579</v>
      </c>
      <c r="C219" s="31">
        <v>895156091</v>
      </c>
      <c r="D219" s="31">
        <v>652694182</v>
      </c>
      <c r="E219" s="31"/>
      <c r="F219" s="31"/>
      <c r="G219" s="91">
        <f t="shared" si="0"/>
        <v>4480393852</v>
      </c>
      <c r="H219" s="29"/>
    </row>
    <row r="220" spans="1:8" ht="17.25" customHeight="1">
      <c r="A220" s="90" t="s">
        <v>302</v>
      </c>
      <c r="B220" s="31"/>
      <c r="C220" s="31"/>
      <c r="D220" s="31"/>
      <c r="E220" s="31"/>
      <c r="F220" s="31"/>
      <c r="G220" s="91"/>
      <c r="H220" s="29"/>
    </row>
    <row r="221" spans="1:8" ht="17.25" customHeight="1">
      <c r="A221" s="90" t="s">
        <v>303</v>
      </c>
      <c r="B221" s="31"/>
      <c r="C221" s="31"/>
      <c r="D221" s="31"/>
      <c r="E221" s="31"/>
      <c r="F221" s="31"/>
      <c r="G221" s="91"/>
      <c r="H221" s="29"/>
    </row>
    <row r="222" spans="1:8" ht="17.25" customHeight="1">
      <c r="A222" s="90" t="s">
        <v>304</v>
      </c>
      <c r="B222" s="31"/>
      <c r="C222" s="31"/>
      <c r="D222" s="31"/>
      <c r="E222" s="31"/>
      <c r="F222" s="31"/>
      <c r="G222" s="91"/>
      <c r="H222" s="29"/>
    </row>
    <row r="223" spans="1:10" s="267" customFormat="1" ht="17.25" customHeight="1">
      <c r="A223" s="266" t="s">
        <v>305</v>
      </c>
      <c r="B223" s="251"/>
      <c r="C223" s="251"/>
      <c r="D223" s="251"/>
      <c r="E223" s="251"/>
      <c r="F223" s="251"/>
      <c r="G223" s="252">
        <f t="shared" si="0"/>
        <v>0</v>
      </c>
      <c r="H223" s="109"/>
      <c r="J223" s="302"/>
    </row>
    <row r="224" spans="1:8" ht="21" customHeight="1">
      <c r="A224" s="21" t="s">
        <v>306</v>
      </c>
      <c r="B224" s="28">
        <f aca="true" t="shared" si="1" ref="B224:G224">B217+B218+B219+B220+B221+B222+B223</f>
        <v>54525223545</v>
      </c>
      <c r="C224" s="28">
        <f t="shared" si="1"/>
        <v>24325135809</v>
      </c>
      <c r="D224" s="28">
        <f t="shared" si="1"/>
        <v>9675843022</v>
      </c>
      <c r="E224" s="28">
        <f t="shared" si="1"/>
        <v>938886372</v>
      </c>
      <c r="F224" s="28">
        <f t="shared" si="1"/>
        <v>0</v>
      </c>
      <c r="G224" s="28">
        <f t="shared" si="1"/>
        <v>89465088748</v>
      </c>
      <c r="H224" s="28"/>
    </row>
    <row r="225" spans="1:8" ht="21" customHeight="1">
      <c r="A225" s="92" t="s">
        <v>307</v>
      </c>
      <c r="B225" s="29"/>
      <c r="C225" s="29"/>
      <c r="D225" s="29"/>
      <c r="E225" s="29"/>
      <c r="F225" s="29"/>
      <c r="G225" s="29"/>
      <c r="H225" s="29"/>
    </row>
    <row r="226" spans="1:8" ht="21" customHeight="1">
      <c r="A226" s="21" t="s">
        <v>299</v>
      </c>
      <c r="B226" s="28">
        <v>11411187725</v>
      </c>
      <c r="C226" s="28">
        <v>15249217348</v>
      </c>
      <c r="D226" s="28">
        <v>5762593966</v>
      </c>
      <c r="E226" s="28">
        <v>488355376</v>
      </c>
      <c r="F226" s="28">
        <v>0</v>
      </c>
      <c r="G226" s="28">
        <f>SUM(B226:F226)</f>
        <v>32911354415</v>
      </c>
      <c r="H226" s="28"/>
    </row>
    <row r="227" spans="1:8" ht="19.5" customHeight="1">
      <c r="A227" s="31" t="s">
        <v>308</v>
      </c>
      <c r="B227" s="222">
        <v>725295218</v>
      </c>
      <c r="C227" s="222">
        <v>593689376</v>
      </c>
      <c r="D227" s="222">
        <v>251181829</v>
      </c>
      <c r="E227" s="222">
        <v>24246191</v>
      </c>
      <c r="F227" s="222"/>
      <c r="G227" s="91">
        <f>SUM(B227:F227)</f>
        <v>1594412614</v>
      </c>
      <c r="H227" s="31"/>
    </row>
    <row r="228" spans="1:8" ht="18" customHeight="1">
      <c r="A228" s="31" t="s">
        <v>45</v>
      </c>
      <c r="B228" s="31"/>
      <c r="C228" s="31"/>
      <c r="D228" s="31"/>
      <c r="E228" s="222"/>
      <c r="F228" s="31"/>
      <c r="G228" s="91"/>
      <c r="H228" s="31"/>
    </row>
    <row r="229" spans="1:8" ht="18" customHeight="1">
      <c r="A229" s="31" t="s">
        <v>46</v>
      </c>
      <c r="B229" s="31"/>
      <c r="C229" s="31"/>
      <c r="D229" s="31"/>
      <c r="E229" s="31"/>
      <c r="F229" s="31"/>
      <c r="G229" s="91"/>
      <c r="H229" s="31"/>
    </row>
    <row r="230" spans="1:8" ht="18" customHeight="1">
      <c r="A230" s="31" t="s">
        <v>309</v>
      </c>
      <c r="B230" s="31"/>
      <c r="C230" s="31"/>
      <c r="D230" s="31"/>
      <c r="E230" s="31"/>
      <c r="F230" s="31"/>
      <c r="G230" s="91"/>
      <c r="H230" s="31"/>
    </row>
    <row r="231" spans="1:10" s="267" customFormat="1" ht="18" customHeight="1">
      <c r="A231" s="251" t="s">
        <v>310</v>
      </c>
      <c r="B231" s="251"/>
      <c r="C231" s="251"/>
      <c r="D231" s="251"/>
      <c r="E231" s="251"/>
      <c r="F231" s="251"/>
      <c r="G231" s="252">
        <f>SUM(B231:F231)</f>
        <v>0</v>
      </c>
      <c r="H231" s="251"/>
      <c r="J231" s="302"/>
    </row>
    <row r="232" spans="1:8" ht="19.5" customHeight="1">
      <c r="A232" s="21" t="s">
        <v>306</v>
      </c>
      <c r="B232" s="28">
        <f>B226+B227-B231</f>
        <v>12136482943</v>
      </c>
      <c r="C232" s="28">
        <f>C226+C227+C231</f>
        <v>15842906724</v>
      </c>
      <c r="D232" s="28">
        <f>D226+D227-D230</f>
        <v>6013775795</v>
      </c>
      <c r="E232" s="28">
        <f>E226+E227-E230</f>
        <v>512601567</v>
      </c>
      <c r="F232" s="28">
        <f>F226+F227-F231</f>
        <v>0</v>
      </c>
      <c r="G232" s="28">
        <f>SUM(B232:F232)</f>
        <v>34505767029</v>
      </c>
      <c r="H232" s="28"/>
    </row>
    <row r="233" spans="1:8" ht="19.5" customHeight="1">
      <c r="A233" s="92" t="s">
        <v>311</v>
      </c>
      <c r="B233" s="29"/>
      <c r="C233" s="29"/>
      <c r="D233" s="29"/>
      <c r="E233" s="29"/>
      <c r="F233" s="29"/>
      <c r="G233" s="29"/>
      <c r="H233" s="29"/>
    </row>
    <row r="234" spans="1:8" ht="19.5" customHeight="1">
      <c r="A234" s="28" t="s">
        <v>312</v>
      </c>
      <c r="B234" s="92">
        <f aca="true" t="shared" si="2" ref="B234:G234">B217-B226</f>
        <v>40181492241</v>
      </c>
      <c r="C234" s="92">
        <f t="shared" si="2"/>
        <v>7278017370</v>
      </c>
      <c r="D234" s="92">
        <f t="shared" si="2"/>
        <v>3087827601</v>
      </c>
      <c r="E234" s="92">
        <f t="shared" si="2"/>
        <v>224567814</v>
      </c>
      <c r="F234" s="92">
        <f t="shared" si="2"/>
        <v>0</v>
      </c>
      <c r="G234" s="92">
        <f t="shared" si="2"/>
        <v>50771905026</v>
      </c>
      <c r="H234" s="28"/>
    </row>
    <row r="235" spans="1:8" ht="19.5" customHeight="1">
      <c r="A235" s="28" t="s">
        <v>313</v>
      </c>
      <c r="B235" s="92">
        <f aca="true" t="shared" si="3" ref="B235:G235">B224-B232</f>
        <v>42388740602</v>
      </c>
      <c r="C235" s="92">
        <f t="shared" si="3"/>
        <v>8482229085</v>
      </c>
      <c r="D235" s="92">
        <f t="shared" si="3"/>
        <v>3662067227</v>
      </c>
      <c r="E235" s="92">
        <f t="shared" si="3"/>
        <v>426284805</v>
      </c>
      <c r="F235" s="92">
        <f t="shared" si="3"/>
        <v>0</v>
      </c>
      <c r="G235" s="92">
        <f t="shared" si="3"/>
        <v>54959321719</v>
      </c>
      <c r="H235" s="28"/>
    </row>
    <row r="236" spans="1:8" ht="33.75" customHeight="1">
      <c r="A236" s="149" t="s">
        <v>438</v>
      </c>
      <c r="B236" s="81">
        <v>4407486849</v>
      </c>
      <c r="C236" s="81">
        <v>8419915972</v>
      </c>
      <c r="D236" s="81">
        <v>2896180201</v>
      </c>
      <c r="E236" s="81">
        <v>348002531</v>
      </c>
      <c r="F236" s="81">
        <v>0</v>
      </c>
      <c r="G236" s="81">
        <f>SUM(B236:F236)</f>
        <v>16071585553</v>
      </c>
      <c r="H236" s="29"/>
    </row>
    <row r="237" spans="1:8" ht="15.75" customHeight="1">
      <c r="A237" s="81" t="s">
        <v>314</v>
      </c>
      <c r="B237" s="56"/>
      <c r="C237" s="56"/>
      <c r="D237" s="56"/>
      <c r="E237" s="56"/>
      <c r="F237" s="56"/>
      <c r="G237" s="56"/>
      <c r="H237" s="29"/>
    </row>
    <row r="238" spans="1:8" ht="15.75" customHeight="1">
      <c r="A238" s="81" t="s">
        <v>434</v>
      </c>
      <c r="B238" s="56"/>
      <c r="C238" s="56"/>
      <c r="D238" s="56"/>
      <c r="E238" s="56"/>
      <c r="F238" s="56"/>
      <c r="G238" s="56"/>
      <c r="H238" s="29"/>
    </row>
    <row r="239" spans="1:8" ht="15.75" customHeight="1">
      <c r="A239" s="150" t="s">
        <v>315</v>
      </c>
      <c r="B239" s="66"/>
      <c r="C239" s="33"/>
      <c r="D239" s="66"/>
      <c r="E239" s="66"/>
      <c r="F239" s="66"/>
      <c r="G239" s="66"/>
      <c r="H239" s="33"/>
    </row>
    <row r="240" spans="1:3" ht="21.75" customHeight="1">
      <c r="A240" s="40" t="s">
        <v>410</v>
      </c>
      <c r="C240" s="212"/>
    </row>
    <row r="241" spans="1:2" ht="27.75" customHeight="1">
      <c r="A241" s="40" t="s">
        <v>411</v>
      </c>
      <c r="B241" s="7"/>
    </row>
    <row r="242" spans="1:2" ht="12" customHeight="1">
      <c r="A242" s="7"/>
      <c r="B242" s="7"/>
    </row>
    <row r="243" spans="1:9" ht="15.75">
      <c r="A243" s="83"/>
      <c r="B243" s="84" t="s">
        <v>316</v>
      </c>
      <c r="C243" s="84" t="s">
        <v>317</v>
      </c>
      <c r="D243" s="84" t="s">
        <v>318</v>
      </c>
      <c r="E243" s="84" t="s">
        <v>644</v>
      </c>
      <c r="F243" s="84" t="s">
        <v>290</v>
      </c>
      <c r="G243" s="84"/>
      <c r="H243" s="84"/>
      <c r="I243" s="8"/>
    </row>
    <row r="244" spans="1:9" ht="15.75">
      <c r="A244" s="85" t="s">
        <v>319</v>
      </c>
      <c r="B244" s="85" t="s">
        <v>320</v>
      </c>
      <c r="C244" s="85" t="s">
        <v>321</v>
      </c>
      <c r="D244" s="85" t="s">
        <v>322</v>
      </c>
      <c r="E244" s="85" t="s">
        <v>645</v>
      </c>
      <c r="F244" s="85" t="s">
        <v>323</v>
      </c>
      <c r="G244" s="85" t="s">
        <v>324</v>
      </c>
      <c r="H244" s="85" t="s">
        <v>94</v>
      </c>
      <c r="I244" s="8"/>
    </row>
    <row r="245" spans="1:9" ht="15.75">
      <c r="A245" s="86"/>
      <c r="B245" s="19" t="s">
        <v>325</v>
      </c>
      <c r="C245" s="19" t="s">
        <v>326</v>
      </c>
      <c r="D245" s="19" t="s">
        <v>327</v>
      </c>
      <c r="E245" s="19" t="s">
        <v>646</v>
      </c>
      <c r="F245" s="19" t="s">
        <v>295</v>
      </c>
      <c r="G245" s="87"/>
      <c r="H245" s="87"/>
      <c r="I245" s="8"/>
    </row>
    <row r="246" spans="1:9" ht="24" customHeight="1">
      <c r="A246" s="88" t="s">
        <v>328</v>
      </c>
      <c r="B246" s="94"/>
      <c r="C246" s="89"/>
      <c r="D246" s="89"/>
      <c r="E246" s="89"/>
      <c r="F246" s="89"/>
      <c r="G246" s="89"/>
      <c r="H246" s="89"/>
      <c r="I246" s="8"/>
    </row>
    <row r="247" spans="1:9" ht="24" customHeight="1">
      <c r="A247" s="21" t="s">
        <v>299</v>
      </c>
      <c r="B247" s="95">
        <v>3038689253</v>
      </c>
      <c r="C247" s="29"/>
      <c r="D247" s="29"/>
      <c r="E247" s="29"/>
      <c r="F247" s="29"/>
      <c r="G247" s="28">
        <f>SUM(B247:F247)</f>
        <v>3038689253</v>
      </c>
      <c r="H247" s="28"/>
      <c r="I247" s="8"/>
    </row>
    <row r="248" spans="1:9" ht="21.75" customHeight="1">
      <c r="A248" s="90" t="s">
        <v>300</v>
      </c>
      <c r="B248" s="31"/>
      <c r="C248" s="31"/>
      <c r="D248" s="31"/>
      <c r="E248" s="31"/>
      <c r="F248" s="31"/>
      <c r="G248" s="91">
        <f>SUM(B248:F248)</f>
        <v>0</v>
      </c>
      <c r="H248" s="91"/>
      <c r="I248" s="8"/>
    </row>
    <row r="249" spans="1:9" ht="21.75" customHeight="1">
      <c r="A249" s="90" t="s">
        <v>329</v>
      </c>
      <c r="B249" s="31"/>
      <c r="C249" s="31"/>
      <c r="D249" s="31"/>
      <c r="E249" s="31"/>
      <c r="F249" s="31"/>
      <c r="G249" s="91">
        <f>SUM(B249:F249)</f>
        <v>0</v>
      </c>
      <c r="H249" s="91"/>
      <c r="I249" s="8"/>
    </row>
    <row r="250" spans="1:9" ht="21.75" customHeight="1">
      <c r="A250" s="90" t="s">
        <v>330</v>
      </c>
      <c r="B250" s="31"/>
      <c r="C250" s="31"/>
      <c r="D250" s="31"/>
      <c r="E250" s="31"/>
      <c r="F250" s="31"/>
      <c r="G250" s="91">
        <f>SUM(B250:F250)</f>
        <v>0</v>
      </c>
      <c r="H250" s="91"/>
      <c r="I250" s="8"/>
    </row>
    <row r="251" spans="1:9" ht="21.75" customHeight="1">
      <c r="A251" s="90" t="s">
        <v>304</v>
      </c>
      <c r="B251" s="31"/>
      <c r="C251" s="31"/>
      <c r="D251" s="31"/>
      <c r="E251" s="31"/>
      <c r="F251" s="31"/>
      <c r="G251" s="91">
        <f>SUM(B251:F251)</f>
        <v>0</v>
      </c>
      <c r="H251" s="91"/>
      <c r="I251" s="8"/>
    </row>
    <row r="252" spans="1:9" ht="24" customHeight="1">
      <c r="A252" s="21" t="s">
        <v>306</v>
      </c>
      <c r="B252" s="95">
        <f aca="true" t="shared" si="4" ref="B252:G252">SUM(B247:B251)</f>
        <v>3038689253</v>
      </c>
      <c r="C252" s="95">
        <f t="shared" si="4"/>
        <v>0</v>
      </c>
      <c r="D252" s="95">
        <f t="shared" si="4"/>
        <v>0</v>
      </c>
      <c r="E252" s="95">
        <f t="shared" si="4"/>
        <v>0</v>
      </c>
      <c r="F252" s="95">
        <f t="shared" si="4"/>
        <v>0</v>
      </c>
      <c r="G252" s="95">
        <f t="shared" si="4"/>
        <v>3038689253</v>
      </c>
      <c r="H252" s="95"/>
      <c r="I252" s="8"/>
    </row>
    <row r="253" spans="1:9" ht="24" customHeight="1">
      <c r="A253" s="92" t="s">
        <v>307</v>
      </c>
      <c r="B253" s="28"/>
      <c r="C253" s="29"/>
      <c r="D253" s="29"/>
      <c r="E253" s="29"/>
      <c r="F253" s="29"/>
      <c r="G253" s="29"/>
      <c r="H253" s="29"/>
      <c r="I253" s="8"/>
    </row>
    <row r="254" spans="1:9" ht="24" customHeight="1">
      <c r="A254" s="21" t="s">
        <v>299</v>
      </c>
      <c r="B254" s="28">
        <v>751370799</v>
      </c>
      <c r="C254" s="29"/>
      <c r="D254" s="29"/>
      <c r="E254" s="29"/>
      <c r="F254" s="29"/>
      <c r="G254" s="28">
        <f>SUM(B254:F254)</f>
        <v>751370799</v>
      </c>
      <c r="H254" s="28"/>
      <c r="I254" s="8"/>
    </row>
    <row r="255" spans="1:9" ht="24" customHeight="1">
      <c r="A255" s="90" t="s">
        <v>331</v>
      </c>
      <c r="B255" s="31">
        <v>40753041</v>
      </c>
      <c r="C255" s="29"/>
      <c r="D255" s="29"/>
      <c r="E255" s="29"/>
      <c r="F255" s="29"/>
      <c r="G255" s="91">
        <f aca="true" t="shared" si="5" ref="G255:G261">SUM(B255:F255)</f>
        <v>40753041</v>
      </c>
      <c r="H255" s="91"/>
      <c r="I255" s="8"/>
    </row>
    <row r="256" spans="1:9" ht="24" customHeight="1">
      <c r="A256" s="90" t="s">
        <v>304</v>
      </c>
      <c r="B256" s="29"/>
      <c r="C256" s="29"/>
      <c r="D256" s="29"/>
      <c r="E256" s="29"/>
      <c r="F256" s="29"/>
      <c r="G256" s="91">
        <f t="shared" si="5"/>
        <v>0</v>
      </c>
      <c r="H256" s="91"/>
      <c r="I256" s="8"/>
    </row>
    <row r="257" spans="1:9" ht="24" customHeight="1">
      <c r="A257" s="90" t="s">
        <v>305</v>
      </c>
      <c r="B257" s="29"/>
      <c r="C257" s="29"/>
      <c r="D257" s="29"/>
      <c r="E257" s="29"/>
      <c r="F257" s="29"/>
      <c r="G257" s="91">
        <f t="shared" si="5"/>
        <v>0</v>
      </c>
      <c r="H257" s="91"/>
      <c r="I257" s="8"/>
    </row>
    <row r="258" spans="1:9" ht="24" customHeight="1">
      <c r="A258" s="21" t="s">
        <v>306</v>
      </c>
      <c r="B258" s="95">
        <f>B254+B255-B256-B257</f>
        <v>792123840</v>
      </c>
      <c r="C258" s="95">
        <f>C254+C255-C256-C257</f>
        <v>0</v>
      </c>
      <c r="D258" s="95">
        <f>D254+D255-D256-D257</f>
        <v>0</v>
      </c>
      <c r="E258" s="95">
        <f>E254+E255-E256-E257</f>
        <v>0</v>
      </c>
      <c r="F258" s="95">
        <f>F254+F255-F256-F257</f>
        <v>0</v>
      </c>
      <c r="G258" s="28">
        <f t="shared" si="5"/>
        <v>792123840</v>
      </c>
      <c r="H258" s="28"/>
      <c r="I258" s="8"/>
    </row>
    <row r="259" spans="1:9" ht="24" customHeight="1">
      <c r="A259" s="92" t="s">
        <v>332</v>
      </c>
      <c r="B259" s="28"/>
      <c r="C259" s="29"/>
      <c r="D259" s="29"/>
      <c r="E259" s="29"/>
      <c r="F259" s="29"/>
      <c r="G259" s="29"/>
      <c r="H259" s="29"/>
      <c r="I259" s="8"/>
    </row>
    <row r="260" spans="1:8" ht="26.25" customHeight="1">
      <c r="A260" s="96" t="s">
        <v>333</v>
      </c>
      <c r="B260" s="28">
        <f>B247-B254</f>
        <v>2287318454</v>
      </c>
      <c r="C260" s="28">
        <f>C247-C254</f>
        <v>0</v>
      </c>
      <c r="D260" s="28">
        <f>D247-D254</f>
        <v>0</v>
      </c>
      <c r="E260" s="28">
        <f>E247-E254</f>
        <v>0</v>
      </c>
      <c r="F260" s="28">
        <f>F247-F254</f>
        <v>0</v>
      </c>
      <c r="G260" s="28">
        <f t="shared" si="5"/>
        <v>2287318454</v>
      </c>
      <c r="H260" s="28"/>
    </row>
    <row r="261" spans="1:8" ht="26.25" customHeight="1">
      <c r="A261" s="97" t="s">
        <v>334</v>
      </c>
      <c r="B261" s="93">
        <f>B252-B258</f>
        <v>2246565413</v>
      </c>
      <c r="C261" s="93">
        <f>C252-C258</f>
        <v>0</v>
      </c>
      <c r="D261" s="93">
        <f>D252-D258</f>
        <v>0</v>
      </c>
      <c r="E261" s="93">
        <f>E252-E258</f>
        <v>0</v>
      </c>
      <c r="F261" s="93">
        <f>F252-F258</f>
        <v>0</v>
      </c>
      <c r="G261" s="93">
        <f t="shared" si="5"/>
        <v>2246565413</v>
      </c>
      <c r="H261" s="93"/>
    </row>
    <row r="262" spans="1:8" ht="10.5" customHeight="1">
      <c r="A262" s="98"/>
      <c r="B262" s="25"/>
      <c r="C262" s="25"/>
      <c r="D262" s="25"/>
      <c r="E262" s="25"/>
      <c r="F262" s="25"/>
      <c r="G262" s="25"/>
      <c r="H262" s="25"/>
    </row>
    <row r="263" spans="1:8" ht="23.25" customHeight="1">
      <c r="A263" s="25" t="s">
        <v>530</v>
      </c>
      <c r="B263" s="25"/>
      <c r="C263" s="25"/>
      <c r="D263" s="25"/>
      <c r="E263" s="25"/>
      <c r="F263" s="25"/>
      <c r="G263" s="25"/>
      <c r="H263" s="25"/>
    </row>
    <row r="264" spans="1:8" ht="11.25" customHeight="1">
      <c r="A264" s="25"/>
      <c r="B264" s="25"/>
      <c r="C264" s="25"/>
      <c r="D264" s="25"/>
      <c r="E264" s="25"/>
      <c r="F264" s="25"/>
      <c r="G264" s="25"/>
      <c r="H264" s="25"/>
    </row>
    <row r="265" spans="1:8" ht="23.25" customHeight="1">
      <c r="A265" s="99"/>
      <c r="B265" s="59" t="s">
        <v>335</v>
      </c>
      <c r="C265" s="16" t="s">
        <v>166</v>
      </c>
      <c r="D265" s="17" t="s">
        <v>100</v>
      </c>
      <c r="E265" s="25"/>
      <c r="F265" s="25"/>
      <c r="G265" s="25"/>
      <c r="H265" s="25"/>
    </row>
    <row r="266" spans="1:4" ht="21.75" customHeight="1">
      <c r="A266" s="23"/>
      <c r="B266" s="218" t="s">
        <v>514</v>
      </c>
      <c r="C266" s="12"/>
      <c r="D266" s="12">
        <f>1031146365+6505548062+51831682</f>
        <v>7588526109</v>
      </c>
    </row>
    <row r="267" spans="1:4" ht="21.75" customHeight="1">
      <c r="A267" s="23"/>
      <c r="B267" s="218" t="s">
        <v>626</v>
      </c>
      <c r="C267" s="12">
        <v>89000000</v>
      </c>
      <c r="D267" s="12">
        <v>0</v>
      </c>
    </row>
    <row r="268" spans="1:4" ht="21.75" customHeight="1">
      <c r="A268" s="23"/>
      <c r="B268" s="218" t="s">
        <v>627</v>
      </c>
      <c r="C268" s="12">
        <v>68000000</v>
      </c>
      <c r="D268" s="12">
        <v>0</v>
      </c>
    </row>
    <row r="269" spans="1:4" ht="21.75" customHeight="1">
      <c r="A269" s="23"/>
      <c r="B269" s="218" t="s">
        <v>515</v>
      </c>
      <c r="C269" s="30"/>
      <c r="D269" s="30">
        <v>-4800000</v>
      </c>
    </row>
    <row r="270" spans="1:4" ht="21.75" customHeight="1">
      <c r="A270" s="23"/>
      <c r="B270" s="218" t="s">
        <v>628</v>
      </c>
      <c r="C270" s="30">
        <v>9480000</v>
      </c>
      <c r="D270" s="30">
        <v>0</v>
      </c>
    </row>
    <row r="271" spans="1:4" ht="21.75" customHeight="1">
      <c r="A271" s="23"/>
      <c r="B271" s="218" t="s">
        <v>557</v>
      </c>
      <c r="C271" s="30">
        <v>1730583636</v>
      </c>
      <c r="D271" s="30">
        <v>0</v>
      </c>
    </row>
    <row r="272" spans="1:4" ht="21.75" customHeight="1">
      <c r="A272" s="23"/>
      <c r="B272" s="218" t="s">
        <v>516</v>
      </c>
      <c r="C272" s="30"/>
      <c r="D272" s="30">
        <v>-3050000</v>
      </c>
    </row>
    <row r="273" spans="1:4" ht="21.75" customHeight="1">
      <c r="A273" s="23"/>
      <c r="B273" s="218" t="s">
        <v>517</v>
      </c>
      <c r="C273" s="30"/>
      <c r="D273" s="30">
        <v>94949932</v>
      </c>
    </row>
    <row r="274" spans="1:4" ht="21.75" customHeight="1">
      <c r="A274" s="23"/>
      <c r="B274" s="218" t="s">
        <v>518</v>
      </c>
      <c r="C274" s="12"/>
      <c r="D274" s="12">
        <f>4020000+165454545+4600000</f>
        <v>174074545</v>
      </c>
    </row>
    <row r="275" spans="1:4" ht="24" customHeight="1">
      <c r="A275" s="76"/>
      <c r="B275" s="17" t="s">
        <v>273</v>
      </c>
      <c r="C275" s="53">
        <f>SUM(C266:C274)</f>
        <v>1897063636</v>
      </c>
      <c r="D275" s="53">
        <f>SUM(D266:D274)</f>
        <v>7849700586</v>
      </c>
    </row>
    <row r="276" spans="1:4" ht="24.75" customHeight="1">
      <c r="A276" s="82" t="s">
        <v>531</v>
      </c>
      <c r="B276" s="8"/>
      <c r="C276" s="24"/>
      <c r="D276" s="24"/>
    </row>
    <row r="277" spans="1:4" ht="11.25" customHeight="1">
      <c r="A277" s="82"/>
      <c r="B277" s="8"/>
      <c r="C277" s="24"/>
      <c r="D277" s="24"/>
    </row>
    <row r="278" spans="1:4" ht="25.5" customHeight="1">
      <c r="A278" s="69" t="s">
        <v>532</v>
      </c>
      <c r="B278" s="214"/>
      <c r="C278" s="16" t="s">
        <v>166</v>
      </c>
      <c r="D278" s="17" t="s">
        <v>100</v>
      </c>
    </row>
    <row r="279" spans="1:4" ht="23.25" customHeight="1">
      <c r="A279" s="213"/>
      <c r="B279" s="65" t="s">
        <v>456</v>
      </c>
      <c r="C279" s="29">
        <v>0</v>
      </c>
      <c r="D279" s="29">
        <v>3638000</v>
      </c>
    </row>
    <row r="280" spans="1:4" ht="23.25" customHeight="1">
      <c r="A280" s="23"/>
      <c r="B280" s="218" t="s">
        <v>457</v>
      </c>
      <c r="C280" s="12">
        <v>1896000</v>
      </c>
      <c r="D280" s="12">
        <v>7584000</v>
      </c>
    </row>
    <row r="281" spans="1:4" ht="23.25" customHeight="1">
      <c r="A281" s="23"/>
      <c r="B281" s="218" t="s">
        <v>570</v>
      </c>
      <c r="C281" s="12">
        <v>110351589.64583333</v>
      </c>
      <c r="D281" s="12">
        <v>0</v>
      </c>
    </row>
    <row r="282" spans="1:4" ht="23.25" customHeight="1">
      <c r="A282" s="23"/>
      <c r="B282" s="218" t="s">
        <v>571</v>
      </c>
      <c r="C282" s="12">
        <v>460841666.21805555</v>
      </c>
      <c r="D282" s="12">
        <v>0</v>
      </c>
    </row>
    <row r="283" spans="1:4" ht="23.25" customHeight="1">
      <c r="A283" s="23"/>
      <c r="B283" s="218" t="s">
        <v>572</v>
      </c>
      <c r="C283" s="12">
        <v>129693629.68472221</v>
      </c>
      <c r="D283" s="12">
        <v>0</v>
      </c>
    </row>
    <row r="284" spans="1:4" ht="23.25" customHeight="1">
      <c r="A284" s="23"/>
      <c r="B284" s="218" t="s">
        <v>458</v>
      </c>
      <c r="C284" s="12">
        <v>1296467573</v>
      </c>
      <c r="D284" s="12">
        <v>392205063</v>
      </c>
    </row>
    <row r="285" spans="1:4" ht="22.5" customHeight="1">
      <c r="A285" s="76"/>
      <c r="B285" s="17" t="s">
        <v>273</v>
      </c>
      <c r="C285" s="61">
        <f>SUM(C279:C284)</f>
        <v>1999250458.5486112</v>
      </c>
      <c r="D285" s="61">
        <f>SUM(D279:D284)</f>
        <v>403427063</v>
      </c>
    </row>
    <row r="286" spans="1:4" ht="20.25" customHeight="1">
      <c r="A286" s="260"/>
      <c r="B286" s="59"/>
      <c r="C286" s="261"/>
      <c r="D286" s="261"/>
    </row>
    <row r="287" spans="1:4" ht="24" customHeight="1">
      <c r="A287" s="69" t="s">
        <v>533</v>
      </c>
      <c r="B287" s="8"/>
      <c r="C287" s="103" t="str">
        <f>C292</f>
        <v>Sè cuèi kú</v>
      </c>
      <c r="D287" s="103" t="str">
        <f>D292</f>
        <v>Sè ®Çu n¨m</v>
      </c>
    </row>
    <row r="288" spans="1:4" ht="22.5" customHeight="1">
      <c r="A288" s="217"/>
      <c r="B288" s="55" t="s">
        <v>459</v>
      </c>
      <c r="C288" s="114">
        <v>8544858757</v>
      </c>
      <c r="D288" s="114">
        <v>7767478405</v>
      </c>
    </row>
    <row r="289" spans="1:4" ht="22.5" customHeight="1">
      <c r="A289" s="215"/>
      <c r="B289" s="216" t="s">
        <v>558</v>
      </c>
      <c r="C289" s="86">
        <v>10000000000</v>
      </c>
      <c r="D289" s="86">
        <v>0</v>
      </c>
    </row>
    <row r="290" spans="1:4" ht="23.25" customHeight="1">
      <c r="A290" s="76"/>
      <c r="B290" s="17" t="s">
        <v>273</v>
      </c>
      <c r="C290" s="61">
        <f>SUM(C288:C289)</f>
        <v>18544858757</v>
      </c>
      <c r="D290" s="61">
        <f>SUM(D288:D289)</f>
        <v>7767478405</v>
      </c>
    </row>
    <row r="291" spans="1:4" ht="20.25" customHeight="1">
      <c r="A291" s="8"/>
      <c r="B291" s="24"/>
      <c r="C291" s="25"/>
      <c r="D291" s="25"/>
    </row>
    <row r="292" spans="1:4" ht="25.5" customHeight="1">
      <c r="A292" s="69" t="s">
        <v>534</v>
      </c>
      <c r="B292" s="70"/>
      <c r="C292" s="17" t="str">
        <f>C265</f>
        <v>Sè cuèi kú</v>
      </c>
      <c r="D292" s="17" t="str">
        <f>D265</f>
        <v>Sè ®Çu n¨m</v>
      </c>
    </row>
    <row r="293" spans="1:4" ht="27" customHeight="1">
      <c r="A293" s="64"/>
      <c r="B293" s="65" t="s">
        <v>519</v>
      </c>
      <c r="C293" s="12">
        <v>42938902</v>
      </c>
      <c r="D293" s="11">
        <v>196496484</v>
      </c>
    </row>
    <row r="294" spans="1:4" ht="27" customHeight="1">
      <c r="A294" s="56"/>
      <c r="B294" s="57" t="s">
        <v>0</v>
      </c>
      <c r="C294" s="268">
        <v>509176814</v>
      </c>
      <c r="D294" s="12">
        <v>433320351</v>
      </c>
    </row>
    <row r="295" spans="1:4" ht="27" customHeight="1">
      <c r="A295" s="56"/>
      <c r="B295" s="57" t="s">
        <v>1</v>
      </c>
      <c r="C295" s="12">
        <v>91535080</v>
      </c>
      <c r="D295" s="12">
        <v>35325651</v>
      </c>
    </row>
    <row r="296" spans="1:4" ht="27" customHeight="1">
      <c r="A296" s="76"/>
      <c r="B296" s="17" t="s">
        <v>273</v>
      </c>
      <c r="C296" s="77">
        <f>SUM(C293:C295)</f>
        <v>643650796</v>
      </c>
      <c r="D296" s="77">
        <f>SUM(D293:D295)</f>
        <v>665142486</v>
      </c>
    </row>
    <row r="297" spans="1:4" ht="21.75" customHeight="1">
      <c r="A297" s="260"/>
      <c r="B297" s="59"/>
      <c r="C297" s="261"/>
      <c r="D297" s="261"/>
    </row>
    <row r="298" spans="1:4" ht="25.5" customHeight="1">
      <c r="A298" s="69" t="s">
        <v>535</v>
      </c>
      <c r="B298" s="70"/>
      <c r="C298" s="100" t="str">
        <f>C292</f>
        <v>Sè cuèi kú</v>
      </c>
      <c r="D298" s="100" t="str">
        <f>D292</f>
        <v>Sè ®Çu n¨m</v>
      </c>
    </row>
    <row r="299" spans="1:4" ht="23.25" customHeight="1">
      <c r="A299" s="56"/>
      <c r="B299" s="57" t="s">
        <v>427</v>
      </c>
      <c r="C299" s="29">
        <v>3070875500</v>
      </c>
      <c r="D299" s="29">
        <v>3070875500</v>
      </c>
    </row>
    <row r="300" spans="1:4" ht="23.25" customHeight="1">
      <c r="A300" s="56"/>
      <c r="B300" s="57" t="s">
        <v>522</v>
      </c>
      <c r="C300" s="29">
        <v>0</v>
      </c>
      <c r="D300" s="29">
        <v>45743089</v>
      </c>
    </row>
    <row r="301" spans="1:4" ht="23.25" customHeight="1">
      <c r="A301" s="56"/>
      <c r="B301" s="57" t="s">
        <v>521</v>
      </c>
      <c r="C301" s="29">
        <v>0</v>
      </c>
      <c r="D301" s="29">
        <v>33419591</v>
      </c>
    </row>
    <row r="302" spans="1:4" ht="23.25" customHeight="1">
      <c r="A302" s="56"/>
      <c r="B302" s="57" t="s">
        <v>523</v>
      </c>
      <c r="C302" s="29">
        <v>0</v>
      </c>
      <c r="D302" s="29">
        <v>67755000</v>
      </c>
    </row>
    <row r="303" spans="1:4" ht="23.25" customHeight="1">
      <c r="A303" s="56"/>
      <c r="B303" s="57" t="s">
        <v>520</v>
      </c>
      <c r="C303" s="29">
        <v>0</v>
      </c>
      <c r="D303" s="29">
        <v>45000000</v>
      </c>
    </row>
    <row r="304" spans="1:4" ht="23.25" customHeight="1">
      <c r="A304" s="73"/>
      <c r="B304" s="57" t="s">
        <v>631</v>
      </c>
      <c r="C304" s="300">
        <v>15000000</v>
      </c>
      <c r="D304" s="300"/>
    </row>
    <row r="305" spans="1:4" ht="23.25" customHeight="1">
      <c r="A305" s="73"/>
      <c r="B305" s="57" t="s">
        <v>629</v>
      </c>
      <c r="C305" s="300">
        <v>50520700</v>
      </c>
      <c r="D305" s="300">
        <v>0</v>
      </c>
    </row>
    <row r="306" spans="1:4" ht="23.25" customHeight="1">
      <c r="A306" s="73"/>
      <c r="B306" s="74" t="s">
        <v>630</v>
      </c>
      <c r="C306" s="300">
        <v>100000000</v>
      </c>
      <c r="D306" s="300">
        <v>0</v>
      </c>
    </row>
    <row r="307" spans="1:4" ht="22.5" customHeight="1">
      <c r="A307" s="76"/>
      <c r="B307" s="17" t="s">
        <v>273</v>
      </c>
      <c r="C307" s="61">
        <f>SUM(C299:C306)</f>
        <v>3236396200</v>
      </c>
      <c r="D307" s="61">
        <f>SUM(D299:D306)</f>
        <v>3262793180</v>
      </c>
    </row>
    <row r="308" spans="1:4" ht="21" customHeight="1">
      <c r="A308" s="260"/>
      <c r="B308" s="59"/>
      <c r="C308" s="261"/>
      <c r="D308" s="261"/>
    </row>
    <row r="309" spans="1:4" ht="25.5" customHeight="1">
      <c r="A309" s="101" t="s">
        <v>536</v>
      </c>
      <c r="B309" s="102"/>
      <c r="C309" s="103" t="str">
        <f>C298</f>
        <v>Sè cuèi kú</v>
      </c>
      <c r="D309" s="103" t="str">
        <f>D298</f>
        <v>Sè ®Çu n¨m</v>
      </c>
    </row>
    <row r="310" spans="1:4" ht="21.75" customHeight="1">
      <c r="A310" s="54"/>
      <c r="B310" s="55" t="s">
        <v>336</v>
      </c>
      <c r="C310" s="71">
        <v>35600000</v>
      </c>
      <c r="D310" s="71">
        <v>15600000</v>
      </c>
    </row>
    <row r="311" spans="1:4" ht="21.75" customHeight="1">
      <c r="A311" s="56"/>
      <c r="B311" s="57" t="s">
        <v>337</v>
      </c>
      <c r="C311" s="12">
        <v>84463480</v>
      </c>
      <c r="D311" s="12">
        <v>114463480</v>
      </c>
    </row>
    <row r="312" spans="1:4" ht="24" customHeight="1">
      <c r="A312" s="56"/>
      <c r="B312" s="57" t="s">
        <v>47</v>
      </c>
      <c r="C312" s="12">
        <v>0</v>
      </c>
      <c r="D312" s="12">
        <v>0</v>
      </c>
    </row>
    <row r="313" spans="1:4" ht="24" customHeight="1">
      <c r="A313" s="56"/>
      <c r="B313" s="57" t="s">
        <v>524</v>
      </c>
      <c r="C313" s="15">
        <v>0</v>
      </c>
      <c r="D313" s="15">
        <v>0</v>
      </c>
    </row>
    <row r="314" spans="1:4" ht="24" customHeight="1">
      <c r="A314" s="56"/>
      <c r="B314" s="57" t="s">
        <v>525</v>
      </c>
      <c r="C314" s="15">
        <v>0</v>
      </c>
      <c r="D314" s="15">
        <v>0</v>
      </c>
    </row>
    <row r="315" spans="1:4" ht="24" customHeight="1">
      <c r="A315" s="56"/>
      <c r="B315" s="57" t="s">
        <v>527</v>
      </c>
      <c r="C315" s="12">
        <v>0</v>
      </c>
      <c r="D315" s="15">
        <v>0</v>
      </c>
    </row>
    <row r="316" spans="1:4" ht="25.5" customHeight="1">
      <c r="A316" s="56"/>
      <c r="B316" s="57" t="s">
        <v>338</v>
      </c>
      <c r="C316" s="12">
        <f>85560403-35600000</f>
        <v>49960403</v>
      </c>
      <c r="D316" s="12">
        <v>36483497</v>
      </c>
    </row>
    <row r="317" spans="1:4" ht="22.5" customHeight="1">
      <c r="A317" s="139"/>
      <c r="B317" s="57" t="s">
        <v>526</v>
      </c>
      <c r="C317" s="102">
        <v>33469230</v>
      </c>
      <c r="D317" s="12">
        <v>19944530</v>
      </c>
    </row>
    <row r="318" spans="1:4" ht="24" customHeight="1">
      <c r="A318" s="76"/>
      <c r="B318" s="17" t="s">
        <v>273</v>
      </c>
      <c r="C318" s="77">
        <f>SUM(C310:C317)</f>
        <v>203493113</v>
      </c>
      <c r="D318" s="77">
        <f>SUM(D310:D317)</f>
        <v>186491507</v>
      </c>
    </row>
    <row r="319" spans="1:4" ht="25.5" customHeight="1">
      <c r="A319" s="82" t="s">
        <v>537</v>
      </c>
      <c r="B319" s="8"/>
      <c r="C319" s="24"/>
      <c r="D319" s="24"/>
    </row>
    <row r="320" spans="1:4" ht="16.5" customHeight="1">
      <c r="A320" s="82"/>
      <c r="B320" s="8"/>
      <c r="C320" s="24"/>
      <c r="D320" s="24"/>
    </row>
    <row r="321" spans="1:4" ht="24.75" customHeight="1">
      <c r="A321" s="69" t="s">
        <v>538</v>
      </c>
      <c r="B321" s="70"/>
      <c r="C321" s="17" t="str">
        <f>C309</f>
        <v>Sè cuèi kú</v>
      </c>
      <c r="D321" s="17" t="str">
        <f>D309</f>
        <v>Sè ®Çu n¨m</v>
      </c>
    </row>
    <row r="322" spans="1:4" ht="24" customHeight="1">
      <c r="A322" s="54" t="s">
        <v>339</v>
      </c>
      <c r="B322" s="71"/>
      <c r="C322" s="71">
        <f>C323</f>
        <v>12355991410</v>
      </c>
      <c r="D322" s="71">
        <v>0</v>
      </c>
    </row>
    <row r="323" spans="1:4" ht="24" customHeight="1">
      <c r="A323" s="56"/>
      <c r="B323" s="104" t="s">
        <v>340</v>
      </c>
      <c r="C323" s="14">
        <v>12355991410</v>
      </c>
      <c r="D323" s="14">
        <v>0</v>
      </c>
    </row>
    <row r="324" spans="1:4" ht="24" customHeight="1">
      <c r="A324" s="56" t="s">
        <v>341</v>
      </c>
      <c r="B324" s="12"/>
      <c r="C324" s="12">
        <f>SUM(C325:C327)</f>
        <v>1858685998</v>
      </c>
      <c r="D324" s="12">
        <f>SUM(D325:D327)</f>
        <v>1914560398</v>
      </c>
    </row>
    <row r="325" spans="1:4" ht="24" customHeight="1">
      <c r="A325" s="73"/>
      <c r="B325" s="105" t="s">
        <v>342</v>
      </c>
      <c r="C325" s="37">
        <v>0</v>
      </c>
      <c r="D325" s="37">
        <v>49885000</v>
      </c>
    </row>
    <row r="326" spans="1:4" ht="24" customHeight="1">
      <c r="A326" s="73"/>
      <c r="B326" s="105" t="s">
        <v>464</v>
      </c>
      <c r="C326" s="37">
        <v>1600000000</v>
      </c>
      <c r="D326" s="37">
        <v>1500000000</v>
      </c>
    </row>
    <row r="327" spans="1:4" ht="24" customHeight="1">
      <c r="A327" s="73"/>
      <c r="B327" s="105" t="s">
        <v>412</v>
      </c>
      <c r="C327" s="37">
        <v>258685998</v>
      </c>
      <c r="D327" s="37">
        <v>364675398</v>
      </c>
    </row>
    <row r="328" spans="1:4" ht="23.25" customHeight="1">
      <c r="A328" s="76"/>
      <c r="B328" s="17" t="s">
        <v>273</v>
      </c>
      <c r="C328" s="77">
        <f>C322+C324</f>
        <v>14214677408</v>
      </c>
      <c r="D328" s="77">
        <f>D322+D324</f>
        <v>1914560398</v>
      </c>
    </row>
    <row r="329" ht="27.75" customHeight="1">
      <c r="A329" s="40" t="s">
        <v>539</v>
      </c>
    </row>
    <row r="330" ht="22.5" customHeight="1">
      <c r="A330" s="7" t="s">
        <v>343</v>
      </c>
    </row>
    <row r="331" ht="9" customHeight="1">
      <c r="A331" s="7"/>
    </row>
    <row r="332" spans="1:10" s="1" customFormat="1" ht="15.75">
      <c r="A332" s="84"/>
      <c r="B332" s="84" t="s">
        <v>344</v>
      </c>
      <c r="C332" s="84" t="s">
        <v>345</v>
      </c>
      <c r="D332" s="84" t="s">
        <v>346</v>
      </c>
      <c r="E332" s="84" t="s">
        <v>647</v>
      </c>
      <c r="F332" s="84" t="s">
        <v>347</v>
      </c>
      <c r="G332" s="84" t="s">
        <v>347</v>
      </c>
      <c r="H332" s="84"/>
      <c r="I332" s="106" t="s">
        <v>165</v>
      </c>
      <c r="J332" s="84"/>
    </row>
    <row r="333" spans="1:10" s="1" customFormat="1" ht="15.75">
      <c r="A333" s="85" t="s">
        <v>292</v>
      </c>
      <c r="B333" s="85" t="s">
        <v>348</v>
      </c>
      <c r="C333" s="85" t="s">
        <v>349</v>
      </c>
      <c r="D333" s="85" t="s">
        <v>350</v>
      </c>
      <c r="E333" s="85" t="s">
        <v>648</v>
      </c>
      <c r="F333" s="85" t="s">
        <v>351</v>
      </c>
      <c r="G333" s="85" t="s">
        <v>352</v>
      </c>
      <c r="H333" s="85" t="s">
        <v>353</v>
      </c>
      <c r="I333" s="107" t="s">
        <v>354</v>
      </c>
      <c r="J333" s="85" t="s">
        <v>273</v>
      </c>
    </row>
    <row r="334" spans="1:10" s="1" customFormat="1" ht="15.75">
      <c r="A334" s="19"/>
      <c r="B334" s="19" t="s">
        <v>355</v>
      </c>
      <c r="C334" s="19" t="s">
        <v>356</v>
      </c>
      <c r="D334" s="19" t="s">
        <v>355</v>
      </c>
      <c r="E334" s="19" t="s">
        <v>649</v>
      </c>
      <c r="F334" s="19" t="s">
        <v>357</v>
      </c>
      <c r="G334" s="19" t="s">
        <v>358</v>
      </c>
      <c r="H334" s="19"/>
      <c r="I334" s="108" t="s">
        <v>359</v>
      </c>
      <c r="J334" s="19"/>
    </row>
    <row r="335" spans="1:10" s="1" customFormat="1" ht="21.75" customHeight="1">
      <c r="A335" s="16" t="s">
        <v>360</v>
      </c>
      <c r="B335" s="16">
        <v>1</v>
      </c>
      <c r="C335" s="16">
        <v>2</v>
      </c>
      <c r="D335" s="16">
        <v>3</v>
      </c>
      <c r="E335" s="16">
        <v>4</v>
      </c>
      <c r="F335" s="16">
        <v>5</v>
      </c>
      <c r="G335" s="16">
        <v>6</v>
      </c>
      <c r="H335" s="16">
        <v>7</v>
      </c>
      <c r="I335" s="16">
        <v>8</v>
      </c>
      <c r="J335" s="16">
        <v>9</v>
      </c>
    </row>
    <row r="336" spans="1:10" ht="27" customHeight="1">
      <c r="A336" s="61" t="s">
        <v>48</v>
      </c>
      <c r="B336" s="61">
        <v>17143300000</v>
      </c>
      <c r="C336" s="61"/>
      <c r="D336" s="61">
        <v>13850228634</v>
      </c>
      <c r="E336" s="61"/>
      <c r="F336" s="61"/>
      <c r="G336" s="61"/>
      <c r="H336" s="61"/>
      <c r="I336" s="61"/>
      <c r="J336" s="61">
        <f aca="true" t="shared" si="6" ref="J336:J341">SUM(B336:I336)</f>
        <v>30993528634</v>
      </c>
    </row>
    <row r="337" spans="1:10" ht="26.25" customHeight="1">
      <c r="A337" s="113" t="s">
        <v>361</v>
      </c>
      <c r="B337" s="305">
        <v>10443500000</v>
      </c>
      <c r="C337" s="305">
        <v>4121612131</v>
      </c>
      <c r="D337" s="305"/>
      <c r="E337" s="305"/>
      <c r="F337" s="305"/>
      <c r="G337" s="305"/>
      <c r="H337" s="305"/>
      <c r="I337" s="305"/>
      <c r="J337" s="306">
        <f t="shared" si="6"/>
        <v>14565112131</v>
      </c>
    </row>
    <row r="338" spans="1:10" ht="26.25" customHeight="1">
      <c r="A338" s="32" t="s">
        <v>362</v>
      </c>
      <c r="B338" s="31"/>
      <c r="C338" s="31"/>
      <c r="D338" s="31">
        <v>7877054201</v>
      </c>
      <c r="E338" s="31"/>
      <c r="F338" s="31"/>
      <c r="G338" s="31"/>
      <c r="H338" s="31"/>
      <c r="I338" s="31"/>
      <c r="J338" s="91">
        <f t="shared" si="6"/>
        <v>7877054201</v>
      </c>
    </row>
    <row r="339" spans="1:10" ht="26.25" customHeight="1">
      <c r="A339" s="32" t="s">
        <v>363</v>
      </c>
      <c r="B339" s="251"/>
      <c r="C339" s="31"/>
      <c r="D339" s="41"/>
      <c r="E339" s="31"/>
      <c r="F339" s="31"/>
      <c r="G339" s="31"/>
      <c r="H339" s="31"/>
      <c r="I339" s="31"/>
      <c r="J339" s="252">
        <f t="shared" si="6"/>
        <v>0</v>
      </c>
    </row>
    <row r="340" spans="1:10" ht="26.25" customHeight="1">
      <c r="A340" s="110" t="s">
        <v>364</v>
      </c>
      <c r="B340" s="31"/>
      <c r="C340" s="31"/>
      <c r="D340" s="31"/>
      <c r="E340" s="31"/>
      <c r="F340" s="31"/>
      <c r="G340" s="31"/>
      <c r="H340" s="31"/>
      <c r="I340" s="31"/>
      <c r="J340" s="91">
        <f t="shared" si="6"/>
        <v>0</v>
      </c>
    </row>
    <row r="341" spans="1:10" ht="26.25" customHeight="1">
      <c r="A341" s="111" t="s">
        <v>305</v>
      </c>
      <c r="B341" s="31"/>
      <c r="C341" s="31"/>
      <c r="D341" s="251">
        <v>-807141376</v>
      </c>
      <c r="E341" s="31"/>
      <c r="F341" s="31"/>
      <c r="G341" s="307"/>
      <c r="H341" s="31"/>
      <c r="I341" s="31"/>
      <c r="J341" s="308">
        <f t="shared" si="6"/>
        <v>-807141376</v>
      </c>
    </row>
    <row r="342" spans="1:10" ht="27" customHeight="1">
      <c r="A342" s="112" t="s">
        <v>49</v>
      </c>
      <c r="B342" s="112">
        <f>SUM(B336:B341)</f>
        <v>27586800000</v>
      </c>
      <c r="C342" s="112">
        <f aca="true" t="shared" si="7" ref="C342:J342">SUM(C336:C341)</f>
        <v>4121612131</v>
      </c>
      <c r="D342" s="112">
        <f t="shared" si="7"/>
        <v>20920141459</v>
      </c>
      <c r="E342" s="112">
        <v>0</v>
      </c>
      <c r="F342" s="112">
        <f t="shared" si="7"/>
        <v>0</v>
      </c>
      <c r="G342" s="112">
        <f t="shared" si="7"/>
        <v>0</v>
      </c>
      <c r="H342" s="112">
        <f t="shared" si="7"/>
        <v>0</v>
      </c>
      <c r="I342" s="112">
        <f t="shared" si="7"/>
        <v>0</v>
      </c>
      <c r="J342" s="112">
        <f t="shared" si="7"/>
        <v>52628553590</v>
      </c>
    </row>
    <row r="343" spans="1:10" ht="27" customHeight="1">
      <c r="A343" s="61" t="s">
        <v>50</v>
      </c>
      <c r="B343" s="112">
        <f>B342</f>
        <v>27586800000</v>
      </c>
      <c r="C343" s="112">
        <f>C342</f>
        <v>4121612131</v>
      </c>
      <c r="D343" s="112">
        <f>D342</f>
        <v>20920141459</v>
      </c>
      <c r="E343" s="112">
        <v>0</v>
      </c>
      <c r="F343" s="112">
        <f>SUM(F337:F339)-SUM(F340:F342)</f>
        <v>0</v>
      </c>
      <c r="G343" s="112">
        <f>SUM(G337:G342)</f>
        <v>0</v>
      </c>
      <c r="H343" s="112">
        <f>SUM(H337:H342)</f>
        <v>0</v>
      </c>
      <c r="I343" s="112">
        <f>SUM(I337:I342)</f>
        <v>0</v>
      </c>
      <c r="J343" s="61">
        <f>J342</f>
        <v>52628553590</v>
      </c>
    </row>
    <row r="344" spans="1:10" ht="24.75" customHeight="1">
      <c r="A344" s="113" t="s">
        <v>365</v>
      </c>
      <c r="B344" s="305"/>
      <c r="C344" s="305"/>
      <c r="D344" s="305"/>
      <c r="E344" s="305"/>
      <c r="F344" s="305"/>
      <c r="G344" s="305"/>
      <c r="H344" s="305"/>
      <c r="I344" s="305"/>
      <c r="J344" s="306">
        <f aca="true" t="shared" si="8" ref="J344:J350">SUM(B344:I344)</f>
        <v>0</v>
      </c>
    </row>
    <row r="345" spans="1:10" ht="24.75" customHeight="1">
      <c r="A345" s="32" t="s">
        <v>366</v>
      </c>
      <c r="B345" s="31"/>
      <c r="C345" s="31"/>
      <c r="D345" s="31">
        <v>6333274418</v>
      </c>
      <c r="E345" s="31"/>
      <c r="F345" s="31"/>
      <c r="G345" s="31"/>
      <c r="H345" s="31"/>
      <c r="I345" s="31"/>
      <c r="J345" s="91">
        <f t="shared" si="8"/>
        <v>6333274418</v>
      </c>
    </row>
    <row r="346" spans="1:10" ht="24.75" customHeight="1">
      <c r="A346" s="32" t="s">
        <v>302</v>
      </c>
      <c r="B346" s="31"/>
      <c r="C346" s="31"/>
      <c r="D346" s="45">
        <v>800000000</v>
      </c>
      <c r="E346" s="31"/>
      <c r="F346" s="31"/>
      <c r="G346" s="31"/>
      <c r="H346" s="31"/>
      <c r="I346" s="31"/>
      <c r="J346" s="91">
        <f t="shared" si="8"/>
        <v>800000000</v>
      </c>
    </row>
    <row r="347" spans="1:10" ht="24.75" customHeight="1">
      <c r="A347" s="32" t="s">
        <v>367</v>
      </c>
      <c r="B347" s="251"/>
      <c r="C347" s="31"/>
      <c r="D347" s="31"/>
      <c r="E347" s="31"/>
      <c r="F347" s="31"/>
      <c r="G347" s="31"/>
      <c r="H347" s="31"/>
      <c r="I347" s="31"/>
      <c r="J347" s="91">
        <f t="shared" si="8"/>
        <v>0</v>
      </c>
    </row>
    <row r="348" spans="1:10" ht="24.75" customHeight="1">
      <c r="A348" s="110" t="s">
        <v>368</v>
      </c>
      <c r="B348" s="31"/>
      <c r="C348" s="31"/>
      <c r="D348" s="31"/>
      <c r="E348" s="31"/>
      <c r="F348" s="31"/>
      <c r="G348" s="31"/>
      <c r="H348" s="31"/>
      <c r="I348" s="31"/>
      <c r="J348" s="91">
        <f t="shared" si="8"/>
        <v>0</v>
      </c>
    </row>
    <row r="349" spans="1:10" ht="24.75" customHeight="1">
      <c r="A349" s="111" t="s">
        <v>305</v>
      </c>
      <c r="B349" s="31"/>
      <c r="C349" s="31"/>
      <c r="D349" s="251">
        <v>-7263860000</v>
      </c>
      <c r="E349" s="31"/>
      <c r="F349" s="31"/>
      <c r="G349" s="307"/>
      <c r="H349" s="31"/>
      <c r="I349" s="31"/>
      <c r="J349" s="252">
        <f t="shared" si="8"/>
        <v>-7263860000</v>
      </c>
    </row>
    <row r="350" spans="1:10" ht="26.25" customHeight="1">
      <c r="A350" s="61" t="s">
        <v>51</v>
      </c>
      <c r="B350" s="61">
        <f>SUM(B343:B349)</f>
        <v>27586800000</v>
      </c>
      <c r="C350" s="61">
        <f>C343</f>
        <v>4121612131</v>
      </c>
      <c r="D350" s="61">
        <f aca="true" t="shared" si="9" ref="D350:I350">SUM(D343:D349)</f>
        <v>20789555877</v>
      </c>
      <c r="E350" s="61">
        <v>0</v>
      </c>
      <c r="F350" s="60">
        <f t="shared" si="9"/>
        <v>0</v>
      </c>
      <c r="G350" s="144">
        <f t="shared" si="9"/>
        <v>0</v>
      </c>
      <c r="H350" s="77">
        <f t="shared" si="9"/>
        <v>0</v>
      </c>
      <c r="I350" s="61">
        <f t="shared" si="9"/>
        <v>0</v>
      </c>
      <c r="J350" s="61">
        <f t="shared" si="8"/>
        <v>52497968008</v>
      </c>
    </row>
    <row r="351" spans="1:10" ht="13.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</row>
    <row r="352" spans="1:10" ht="24.75" customHeight="1">
      <c r="A352" s="61" t="s">
        <v>370</v>
      </c>
      <c r="B352" s="140"/>
      <c r="C352" s="17" t="s">
        <v>426</v>
      </c>
      <c r="D352" s="17" t="s">
        <v>369</v>
      </c>
      <c r="E352" s="25"/>
      <c r="F352" s="25"/>
      <c r="G352" s="25"/>
      <c r="H352" s="25"/>
      <c r="I352" s="25"/>
      <c r="J352" s="169"/>
    </row>
    <row r="353" spans="1:10" ht="24.75" customHeight="1">
      <c r="A353" s="220"/>
      <c r="B353" s="113" t="s">
        <v>371</v>
      </c>
      <c r="C353" s="11">
        <v>10105505854</v>
      </c>
      <c r="D353" s="11">
        <v>9305505854</v>
      </c>
      <c r="E353" s="25"/>
      <c r="F353" s="25"/>
      <c r="G353" s="25"/>
      <c r="H353" s="25"/>
      <c r="I353" s="25"/>
      <c r="J353" s="25"/>
    </row>
    <row r="354" spans="1:10" ht="24" customHeight="1">
      <c r="A354" s="221"/>
      <c r="B354" s="32" t="s">
        <v>372</v>
      </c>
      <c r="C354" s="13">
        <v>650000000</v>
      </c>
      <c r="D354" s="13">
        <v>650000000</v>
      </c>
      <c r="E354" s="25"/>
      <c r="F354" s="25"/>
      <c r="G354" s="25"/>
      <c r="H354" s="25"/>
      <c r="I354" s="25"/>
      <c r="J354" s="25"/>
    </row>
    <row r="355" spans="1:10" ht="24.75" customHeight="1">
      <c r="A355" s="152"/>
      <c r="B355" s="17" t="s">
        <v>273</v>
      </c>
      <c r="C355" s="77">
        <f>SUM(C353:C354)</f>
        <v>10755505854</v>
      </c>
      <c r="D355" s="77">
        <f>SUM(D353:D354)</f>
        <v>9955505854</v>
      </c>
      <c r="E355" s="25"/>
      <c r="F355" s="25"/>
      <c r="G355" s="25"/>
      <c r="H355" s="25"/>
      <c r="I355" s="25"/>
      <c r="J355" s="25"/>
    </row>
    <row r="356" spans="1:3" ht="25.5" customHeight="1">
      <c r="A356" s="40" t="s">
        <v>540</v>
      </c>
      <c r="B356" s="40"/>
      <c r="C356" s="40"/>
    </row>
    <row r="357" spans="1:3" ht="27" customHeight="1">
      <c r="A357" s="40" t="s">
        <v>541</v>
      </c>
      <c r="B357" s="40"/>
      <c r="C357" s="40"/>
    </row>
    <row r="358" spans="1:3" ht="24.75" customHeight="1">
      <c r="A358" s="40" t="s">
        <v>373</v>
      </c>
      <c r="B358" s="40"/>
      <c r="C358" s="40"/>
    </row>
    <row r="359" spans="1:3" ht="16.5" customHeight="1">
      <c r="A359" s="40"/>
      <c r="B359" s="40"/>
      <c r="C359" s="40"/>
    </row>
    <row r="360" spans="1:5" ht="24.75" customHeight="1">
      <c r="A360" s="69"/>
      <c r="B360" s="17" t="s">
        <v>292</v>
      </c>
      <c r="C360" s="17" t="s">
        <v>52</v>
      </c>
      <c r="D360" s="116" t="s">
        <v>211</v>
      </c>
      <c r="E360" s="24"/>
    </row>
    <row r="361" spans="1:5" ht="24" customHeight="1">
      <c r="A361" s="117" t="s">
        <v>542</v>
      </c>
      <c r="B361" s="12"/>
      <c r="C361" s="22">
        <f>SUM(C362:C364)</f>
        <v>42315785100</v>
      </c>
      <c r="D361" s="22">
        <f>SUM(D362:D364)</f>
        <v>131436774996</v>
      </c>
      <c r="E361" s="82"/>
    </row>
    <row r="362" spans="1:5" ht="24" customHeight="1">
      <c r="A362" s="56"/>
      <c r="B362" s="57" t="s">
        <v>374</v>
      </c>
      <c r="C362" s="12">
        <f>104247000+13578047042</f>
        <v>13682294042</v>
      </c>
      <c r="D362" s="12">
        <v>26378906307</v>
      </c>
      <c r="E362" s="45"/>
    </row>
    <row r="363" spans="1:5" ht="24" customHeight="1">
      <c r="A363" s="56"/>
      <c r="B363" s="57" t="s">
        <v>375</v>
      </c>
      <c r="C363" s="12">
        <v>26568410924</v>
      </c>
      <c r="D363" s="12">
        <v>101843863696</v>
      </c>
      <c r="E363" s="45"/>
    </row>
    <row r="364" spans="1:5" ht="24" customHeight="1">
      <c r="A364" s="56"/>
      <c r="B364" s="57" t="s">
        <v>376</v>
      </c>
      <c r="C364" s="12">
        <v>2065080134</v>
      </c>
      <c r="D364" s="12">
        <v>3214004993</v>
      </c>
      <c r="E364" s="45"/>
    </row>
    <row r="365" spans="1:5" ht="24" customHeight="1">
      <c r="A365" s="117" t="s">
        <v>543</v>
      </c>
      <c r="B365" s="22"/>
      <c r="C365" s="22">
        <f>SUM(C366:C366)</f>
        <v>0</v>
      </c>
      <c r="D365" s="22">
        <f>SUM(D366)</f>
        <v>40806909</v>
      </c>
      <c r="E365" s="82"/>
    </row>
    <row r="366" spans="1:5" ht="24" customHeight="1">
      <c r="A366" s="56"/>
      <c r="B366" s="57" t="s">
        <v>377</v>
      </c>
      <c r="C366" s="12"/>
      <c r="D366" s="12">
        <v>40806909</v>
      </c>
      <c r="E366" s="45"/>
    </row>
    <row r="367" spans="1:5" ht="24" customHeight="1">
      <c r="A367" s="117" t="s">
        <v>544</v>
      </c>
      <c r="B367" s="22"/>
      <c r="C367" s="22">
        <f>SUM(C368:C370)</f>
        <v>42315785100</v>
      </c>
      <c r="D367" s="22">
        <f>SUM(D368:D370)</f>
        <v>131395968087</v>
      </c>
      <c r="E367" s="82"/>
    </row>
    <row r="368" spans="1:5" ht="25.5" customHeight="1">
      <c r="A368" s="56" t="s">
        <v>378</v>
      </c>
      <c r="B368" s="12"/>
      <c r="C368" s="12">
        <f>C362</f>
        <v>13682294042</v>
      </c>
      <c r="D368" s="12">
        <f>D362</f>
        <v>26378906307</v>
      </c>
      <c r="E368" s="45"/>
    </row>
    <row r="369" spans="1:5" ht="25.5" customHeight="1">
      <c r="A369" s="56"/>
      <c r="B369" s="57" t="s">
        <v>379</v>
      </c>
      <c r="C369" s="12">
        <f>C363-C366</f>
        <v>26568410924</v>
      </c>
      <c r="D369" s="12">
        <f>D363-D366</f>
        <v>101803056787</v>
      </c>
      <c r="E369" s="45"/>
    </row>
    <row r="370" spans="1:5" ht="25.5" customHeight="1">
      <c r="A370" s="56"/>
      <c r="B370" s="57" t="s">
        <v>380</v>
      </c>
      <c r="C370" s="12">
        <f>C364</f>
        <v>2065080134</v>
      </c>
      <c r="D370" s="12">
        <f>D364</f>
        <v>3214004993</v>
      </c>
      <c r="E370" s="45"/>
    </row>
    <row r="371" spans="1:5" ht="24" customHeight="1">
      <c r="A371" s="117" t="s">
        <v>545</v>
      </c>
      <c r="B371" s="118"/>
      <c r="C371" s="22">
        <f>SUM(C372:C375)</f>
        <v>33929410597</v>
      </c>
      <c r="D371" s="22">
        <f>SUM(D372:D375)</f>
        <v>103824367260</v>
      </c>
      <c r="E371" s="82"/>
    </row>
    <row r="372" spans="1:5" ht="24" customHeight="1">
      <c r="A372" s="119"/>
      <c r="B372" s="57" t="s">
        <v>381</v>
      </c>
      <c r="C372" s="12">
        <v>14207157036</v>
      </c>
      <c r="D372" s="12">
        <v>26164764368</v>
      </c>
      <c r="E372" s="8"/>
    </row>
    <row r="373" spans="1:5" ht="24" customHeight="1">
      <c r="A373" s="56"/>
      <c r="B373" s="57" t="s">
        <v>382</v>
      </c>
      <c r="C373" s="12">
        <v>19722253561</v>
      </c>
      <c r="D373" s="12">
        <v>76958142892</v>
      </c>
      <c r="E373" s="8"/>
    </row>
    <row r="374" spans="1:5" ht="24" customHeight="1">
      <c r="A374" s="56"/>
      <c r="B374" s="57" t="s">
        <v>416</v>
      </c>
      <c r="C374" s="12">
        <v>0</v>
      </c>
      <c r="D374" s="12">
        <v>701460000</v>
      </c>
      <c r="E374" s="8"/>
    </row>
    <row r="375" spans="1:5" ht="24" customHeight="1">
      <c r="A375" s="81"/>
      <c r="B375" s="57" t="s">
        <v>284</v>
      </c>
      <c r="C375" s="12">
        <v>0</v>
      </c>
      <c r="D375" s="12">
        <v>0</v>
      </c>
      <c r="E375" s="8"/>
    </row>
    <row r="376" spans="1:5" ht="24" customHeight="1">
      <c r="A376" s="117" t="s">
        <v>546</v>
      </c>
      <c r="B376" s="22"/>
      <c r="C376" s="22">
        <f>SUM(C377:C378)</f>
        <v>128526291</v>
      </c>
      <c r="D376" s="22">
        <f>SUM(D377:D378)</f>
        <v>1087557369</v>
      </c>
      <c r="E376" s="25"/>
    </row>
    <row r="377" spans="1:5" ht="25.5" customHeight="1">
      <c r="A377" s="56"/>
      <c r="B377" s="57" t="s">
        <v>383</v>
      </c>
      <c r="C377" s="12">
        <v>128526291</v>
      </c>
      <c r="D377" s="12">
        <v>558024896</v>
      </c>
      <c r="E377" s="8"/>
    </row>
    <row r="378" spans="1:5" ht="25.5" customHeight="1">
      <c r="A378" s="56"/>
      <c r="B378" s="57" t="s">
        <v>559</v>
      </c>
      <c r="C378" s="12">
        <v>0</v>
      </c>
      <c r="D378" s="12">
        <v>529532473</v>
      </c>
      <c r="E378" s="8"/>
    </row>
    <row r="379" spans="1:5" ht="24.75" customHeight="1">
      <c r="A379" s="120" t="s">
        <v>547</v>
      </c>
      <c r="B379" s="11"/>
      <c r="C379" s="20">
        <f>SUM(C380:C383)</f>
        <v>829211762</v>
      </c>
      <c r="D379" s="20">
        <f>SUM(D380:D383)</f>
        <v>1443300859</v>
      </c>
      <c r="E379" s="25"/>
    </row>
    <row r="380" spans="1:5" ht="27.75" customHeight="1">
      <c r="A380" s="56"/>
      <c r="B380" s="57" t="s">
        <v>384</v>
      </c>
      <c r="C380" s="29">
        <v>826642632</v>
      </c>
      <c r="D380" s="29">
        <v>1321396729</v>
      </c>
      <c r="E380" s="8"/>
    </row>
    <row r="381" spans="1:5" ht="25.5" customHeight="1">
      <c r="A381" s="73"/>
      <c r="B381" s="57" t="s">
        <v>620</v>
      </c>
      <c r="C381" s="300">
        <v>2295890</v>
      </c>
      <c r="D381" s="300">
        <v>88665890</v>
      </c>
      <c r="E381" s="8"/>
    </row>
    <row r="382" spans="1:5" ht="25.5" customHeight="1">
      <c r="A382" s="73"/>
      <c r="B382" s="57" t="s">
        <v>640</v>
      </c>
      <c r="C382" s="300">
        <v>124540</v>
      </c>
      <c r="D382" s="300">
        <v>124540</v>
      </c>
      <c r="E382" s="8"/>
    </row>
    <row r="383" spans="1:5" ht="25.5" customHeight="1">
      <c r="A383" s="66"/>
      <c r="B383" s="67" t="s">
        <v>560</v>
      </c>
      <c r="C383" s="33">
        <v>148700</v>
      </c>
      <c r="D383" s="33">
        <v>33113700</v>
      </c>
      <c r="E383" s="8"/>
    </row>
    <row r="384" spans="1:5" ht="21.75" customHeight="1">
      <c r="A384" s="8"/>
      <c r="B384" s="115"/>
      <c r="C384" s="8"/>
      <c r="D384" s="8"/>
      <c r="E384" s="8"/>
    </row>
    <row r="385" spans="1:5" ht="20.25" customHeight="1">
      <c r="A385" s="76"/>
      <c r="B385" s="17" t="s">
        <v>292</v>
      </c>
      <c r="C385" s="17" t="s">
        <v>52</v>
      </c>
      <c r="D385" s="116" t="s">
        <v>211</v>
      </c>
      <c r="E385" s="8"/>
    </row>
    <row r="386" spans="1:6" ht="19.5" customHeight="1">
      <c r="A386" s="120" t="s">
        <v>548</v>
      </c>
      <c r="B386" s="11"/>
      <c r="C386" s="20">
        <f>SUM(C387:C393)</f>
        <v>1277929998</v>
      </c>
      <c r="D386" s="20">
        <f>SUM(D387:D393)</f>
        <v>7563610189</v>
      </c>
      <c r="E386" s="8"/>
      <c r="F386" s="210"/>
    </row>
    <row r="387" spans="1:10" s="210" customFormat="1" ht="19.5" customHeight="1">
      <c r="A387" s="208"/>
      <c r="B387" s="57" t="s">
        <v>385</v>
      </c>
      <c r="C387" s="12">
        <v>281858000</v>
      </c>
      <c r="D387" s="12">
        <v>741640700</v>
      </c>
      <c r="E387" s="209"/>
      <c r="J387" s="303"/>
    </row>
    <row r="388" spans="1:10" s="210" customFormat="1" ht="19.5" customHeight="1">
      <c r="A388" s="211"/>
      <c r="B388" s="65" t="s">
        <v>386</v>
      </c>
      <c r="C388" s="12">
        <v>102183750</v>
      </c>
      <c r="D388" s="12">
        <v>306551250</v>
      </c>
      <c r="E388" s="209"/>
      <c r="J388" s="303"/>
    </row>
    <row r="389" spans="1:10" s="210" customFormat="1" ht="19.5" customHeight="1">
      <c r="A389" s="211"/>
      <c r="B389" s="65" t="s">
        <v>435</v>
      </c>
      <c r="C389" s="362">
        <v>-1181460150</v>
      </c>
      <c r="D389" s="12">
        <v>644471350</v>
      </c>
      <c r="E389" s="209"/>
      <c r="J389" s="303"/>
    </row>
    <row r="390" spans="1:10" s="210" customFormat="1" ht="19.5" customHeight="1">
      <c r="A390" s="211"/>
      <c r="B390" s="65" t="s">
        <v>442</v>
      </c>
      <c r="C390" s="12">
        <v>107580130</v>
      </c>
      <c r="D390" s="12">
        <v>234183070</v>
      </c>
      <c r="E390" s="209"/>
      <c r="J390" s="303"/>
    </row>
    <row r="391" spans="1:10" s="210" customFormat="1" ht="19.5" customHeight="1">
      <c r="A391" s="211"/>
      <c r="B391" s="65" t="s">
        <v>387</v>
      </c>
      <c r="C391" s="12">
        <v>449796625</v>
      </c>
      <c r="D391" s="12">
        <v>1369497553</v>
      </c>
      <c r="E391" s="209"/>
      <c r="J391" s="303"/>
    </row>
    <row r="392" spans="1:10" s="210" customFormat="1" ht="19.5" customHeight="1">
      <c r="A392" s="211"/>
      <c r="B392" s="65" t="s">
        <v>388</v>
      </c>
      <c r="C392" s="12">
        <v>871670581</v>
      </c>
      <c r="D392" s="12">
        <v>2494192676</v>
      </c>
      <c r="E392" s="209"/>
      <c r="J392" s="303"/>
    </row>
    <row r="393" spans="1:10" s="210" customFormat="1" ht="19.5" customHeight="1">
      <c r="A393" s="211"/>
      <c r="B393" s="65" t="s">
        <v>389</v>
      </c>
      <c r="C393" s="12">
        <v>646301062</v>
      </c>
      <c r="D393" s="12">
        <v>1773073590</v>
      </c>
      <c r="E393" s="209"/>
      <c r="J393" s="303"/>
    </row>
    <row r="394" spans="1:5" ht="19.5" customHeight="1">
      <c r="A394" s="120" t="s">
        <v>549</v>
      </c>
      <c r="B394" s="11"/>
      <c r="C394" s="20">
        <f>SUM(C395:C402)</f>
        <v>4096932991</v>
      </c>
      <c r="D394" s="20">
        <f>SUM(D395:D402)</f>
        <v>10932888758</v>
      </c>
      <c r="E394" s="209"/>
    </row>
    <row r="395" spans="1:5" ht="19.5" customHeight="1">
      <c r="A395" s="56"/>
      <c r="B395" s="57" t="s">
        <v>390</v>
      </c>
      <c r="C395" s="12">
        <v>1889235100</v>
      </c>
      <c r="D395" s="12">
        <v>5544664800</v>
      </c>
      <c r="E395" s="8"/>
    </row>
    <row r="396" spans="1:5" ht="19.5" customHeight="1">
      <c r="A396" s="64"/>
      <c r="B396" s="65" t="s">
        <v>391</v>
      </c>
      <c r="C396" s="29">
        <v>213077676</v>
      </c>
      <c r="D396" s="29">
        <v>807218707</v>
      </c>
      <c r="E396" s="8"/>
    </row>
    <row r="397" spans="1:5" ht="19.5" customHeight="1">
      <c r="A397" s="64"/>
      <c r="B397" s="65" t="s">
        <v>392</v>
      </c>
      <c r="C397" s="11">
        <v>54575000</v>
      </c>
      <c r="D397" s="11">
        <v>148214500</v>
      </c>
      <c r="E397" s="8"/>
    </row>
    <row r="398" spans="1:5" ht="19.5" customHeight="1">
      <c r="A398" s="64"/>
      <c r="B398" s="65" t="s">
        <v>393</v>
      </c>
      <c r="C398" s="11">
        <v>269782655</v>
      </c>
      <c r="D398" s="11">
        <v>666684032</v>
      </c>
      <c r="E398" s="8"/>
    </row>
    <row r="399" spans="1:5" ht="19.5" customHeight="1">
      <c r="A399" s="64"/>
      <c r="B399" s="65" t="s">
        <v>394</v>
      </c>
      <c r="C399" s="11">
        <v>928880274</v>
      </c>
      <c r="D399" s="11">
        <v>1249248274</v>
      </c>
      <c r="E399" s="8"/>
    </row>
    <row r="400" spans="1:5" ht="19.5" customHeight="1">
      <c r="A400" s="64"/>
      <c r="B400" s="65" t="s">
        <v>436</v>
      </c>
      <c r="C400" s="362">
        <v>-1048772400</v>
      </c>
      <c r="D400" s="362">
        <v>-1497666822</v>
      </c>
      <c r="E400" s="8"/>
    </row>
    <row r="401" spans="1:5" ht="19.5" customHeight="1">
      <c r="A401" s="64"/>
      <c r="B401" s="65" t="s">
        <v>387</v>
      </c>
      <c r="C401" s="29">
        <v>1746154686</v>
      </c>
      <c r="D401" s="29">
        <v>3726949662</v>
      </c>
      <c r="E401" s="8"/>
    </row>
    <row r="402" spans="1:5" ht="19.5" customHeight="1">
      <c r="A402" s="66"/>
      <c r="B402" s="67" t="s">
        <v>53</v>
      </c>
      <c r="C402" s="68">
        <v>44000000</v>
      </c>
      <c r="D402" s="68">
        <v>287575605</v>
      </c>
      <c r="E402" s="8"/>
    </row>
    <row r="403" spans="1:5" ht="22.5" customHeight="1">
      <c r="A403" s="60" t="s">
        <v>550</v>
      </c>
      <c r="B403" s="121"/>
      <c r="C403" s="16" t="s">
        <v>52</v>
      </c>
      <c r="D403" s="116" t="s">
        <v>211</v>
      </c>
      <c r="E403" s="24"/>
    </row>
    <row r="404" spans="1:5" ht="21" customHeight="1">
      <c r="A404" s="122" t="s">
        <v>395</v>
      </c>
      <c r="B404" s="123"/>
      <c r="C404" s="79">
        <f>C405+C406</f>
        <v>15745437599</v>
      </c>
      <c r="D404" s="79">
        <f>SUM(D405:D406)</f>
        <v>57706375149</v>
      </c>
      <c r="E404" s="25"/>
    </row>
    <row r="405" spans="1:5" ht="20.25" customHeight="1">
      <c r="A405" s="56"/>
      <c r="B405" s="124" t="s">
        <v>396</v>
      </c>
      <c r="C405" s="29">
        <v>15454075709</v>
      </c>
      <c r="D405" s="29">
        <v>56901869999</v>
      </c>
      <c r="E405" s="8"/>
    </row>
    <row r="406" spans="1:5" ht="20.25" customHeight="1">
      <c r="A406" s="56"/>
      <c r="B406" s="124" t="s">
        <v>397</v>
      </c>
      <c r="C406" s="29">
        <v>291361890</v>
      </c>
      <c r="D406" s="29">
        <v>804505150</v>
      </c>
      <c r="E406" s="8"/>
    </row>
    <row r="407" spans="1:5" ht="20.25" customHeight="1">
      <c r="A407" s="117" t="s">
        <v>398</v>
      </c>
      <c r="B407" s="125"/>
      <c r="C407" s="28">
        <f>SUM(C408:C410)</f>
        <v>6702418000</v>
      </c>
      <c r="D407" s="28">
        <f>SUM(D408:D410)</f>
        <v>19847576900</v>
      </c>
      <c r="E407" s="25"/>
    </row>
    <row r="408" spans="1:5" ht="20.25" customHeight="1">
      <c r="A408" s="56"/>
      <c r="B408" s="124" t="s">
        <v>399</v>
      </c>
      <c r="C408" s="29">
        <f>5400000000+33000000</f>
        <v>5433000000</v>
      </c>
      <c r="D408" s="29">
        <v>16398300000</v>
      </c>
      <c r="E408" s="8"/>
    </row>
    <row r="409" spans="1:5" ht="20.25" customHeight="1">
      <c r="A409" s="56"/>
      <c r="B409" s="124" t="s">
        <v>400</v>
      </c>
      <c r="C409" s="29">
        <v>495322800</v>
      </c>
      <c r="D409" s="29">
        <v>1291376400</v>
      </c>
      <c r="E409" s="8"/>
    </row>
    <row r="410" spans="1:5" ht="20.25" customHeight="1">
      <c r="A410" s="56"/>
      <c r="B410" s="124" t="s">
        <v>54</v>
      </c>
      <c r="C410" s="29">
        <v>774095200</v>
      </c>
      <c r="D410" s="29">
        <v>2157900500</v>
      </c>
      <c r="E410" s="8"/>
    </row>
    <row r="411" spans="1:5" ht="20.25" customHeight="1">
      <c r="A411" s="117" t="s">
        <v>401</v>
      </c>
      <c r="B411" s="125"/>
      <c r="C411" s="28">
        <v>1635165655</v>
      </c>
      <c r="D411" s="28">
        <v>4003775236</v>
      </c>
      <c r="E411" s="8"/>
    </row>
    <row r="412" spans="1:5" ht="20.25" customHeight="1">
      <c r="A412" s="117" t="s">
        <v>402</v>
      </c>
      <c r="B412" s="125"/>
      <c r="C412" s="28">
        <v>1080772694</v>
      </c>
      <c r="D412" s="28">
        <v>1692431998</v>
      </c>
      <c r="E412" s="8"/>
    </row>
    <row r="413" spans="1:5" ht="20.25" customHeight="1">
      <c r="A413" s="117" t="s">
        <v>403</v>
      </c>
      <c r="B413" s="125"/>
      <c r="C413" s="28">
        <v>2894161964</v>
      </c>
      <c r="D413" s="28">
        <v>9448290917</v>
      </c>
      <c r="E413" s="8"/>
    </row>
    <row r="414" spans="1:5" ht="20.25" customHeight="1">
      <c r="A414" s="126" t="s">
        <v>404</v>
      </c>
      <c r="B414" s="127"/>
      <c r="C414" s="28">
        <v>6903524251</v>
      </c>
      <c r="D414" s="128">
        <v>11991230917</v>
      </c>
      <c r="E414" s="8"/>
    </row>
    <row r="415" spans="1:5" ht="20.25" customHeight="1">
      <c r="A415" s="76"/>
      <c r="B415" s="59" t="s">
        <v>324</v>
      </c>
      <c r="C415" s="61">
        <f>C404+C407+SUM(C411:C414)</f>
        <v>34961480163</v>
      </c>
      <c r="D415" s="61">
        <f>D404+D407+SUM(D411:D414)</f>
        <v>104689681117</v>
      </c>
      <c r="E415" s="25"/>
    </row>
    <row r="416" spans="1:6" ht="21" customHeight="1">
      <c r="A416" s="7" t="s">
        <v>405</v>
      </c>
      <c r="C416" s="8"/>
      <c r="D416" s="8"/>
      <c r="E416" s="8"/>
      <c r="F416" s="8"/>
    </row>
    <row r="417" spans="1:5" ht="24" customHeight="1">
      <c r="A417" s="200"/>
      <c r="B417" s="201"/>
      <c r="C417" s="249" t="s">
        <v>641</v>
      </c>
      <c r="D417" s="249"/>
      <c r="E417" s="249"/>
    </row>
    <row r="418" spans="1:10" s="36" customFormat="1" ht="18" customHeight="1">
      <c r="A418" s="259" t="s">
        <v>618</v>
      </c>
      <c r="B418" s="259"/>
      <c r="C418" s="259"/>
      <c r="D418" s="259"/>
      <c r="E418" s="259"/>
      <c r="F418" s="35"/>
      <c r="G418" s="35"/>
      <c r="H418" s="35"/>
      <c r="J418" s="35"/>
    </row>
    <row r="419" spans="1:10" s="36" customFormat="1" ht="12.75" customHeight="1">
      <c r="A419" s="203"/>
      <c r="B419" s="204"/>
      <c r="C419" s="366"/>
      <c r="D419" s="366"/>
      <c r="E419" s="10"/>
      <c r="F419" s="35"/>
      <c r="G419" s="35"/>
      <c r="H419" s="35"/>
      <c r="J419" s="35"/>
    </row>
    <row r="420" spans="1:5" ht="15.75">
      <c r="A420" s="205"/>
      <c r="B420" s="201"/>
      <c r="C420" s="201"/>
      <c r="D420" s="129"/>
      <c r="E420" s="129"/>
    </row>
    <row r="421" spans="1:5" ht="15.75">
      <c r="A421" s="205"/>
      <c r="B421" s="201"/>
      <c r="C421" s="201"/>
      <c r="D421" s="129"/>
      <c r="E421" s="129"/>
    </row>
    <row r="422" spans="1:5" ht="15.75">
      <c r="A422" s="205"/>
      <c r="B422" s="201"/>
      <c r="C422" s="201"/>
      <c r="D422" s="129"/>
      <c r="E422" s="129"/>
    </row>
    <row r="423" spans="1:5" ht="13.5" customHeight="1">
      <c r="A423" s="205"/>
      <c r="B423" s="201"/>
      <c r="C423" s="201"/>
      <c r="D423" s="129"/>
      <c r="E423" s="129"/>
    </row>
    <row r="424" spans="1:10" s="154" customFormat="1" ht="15">
      <c r="A424" s="258" t="s">
        <v>619</v>
      </c>
      <c r="B424" s="258"/>
      <c r="C424" s="258"/>
      <c r="D424" s="253"/>
      <c r="E424" s="253"/>
      <c r="J424" s="304"/>
    </row>
  </sheetData>
  <sheetProtection/>
  <mergeCells count="7">
    <mergeCell ref="C419:D419"/>
    <mergeCell ref="A1:D1"/>
    <mergeCell ref="A50:D50"/>
    <mergeCell ref="A196:D196"/>
    <mergeCell ref="A5:D5"/>
    <mergeCell ref="A6:D6"/>
    <mergeCell ref="A49:D49"/>
  </mergeCells>
  <printOptions/>
  <pageMargins left="0.47" right="0.24" top="0.42" bottom="0.18" header="0.26" footer="0.16"/>
  <pageSetup horizontalDpi="600" verticalDpi="600" orientation="portrait" paperSize="9" r:id="rId2"/>
  <headerFooter alignWithMargins="0">
    <oddFooter>&amp;CPage 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9.875" style="2" customWidth="1"/>
    <col min="2" max="2" width="8.00390625" style="1" customWidth="1"/>
    <col min="3" max="3" width="7.625" style="1" customWidth="1"/>
    <col min="4" max="4" width="18.25390625" style="2" customWidth="1"/>
    <col min="5" max="5" width="18.00390625" style="2" customWidth="1"/>
    <col min="6" max="7" width="22.875" style="2" hidden="1" customWidth="1"/>
    <col min="8" max="8" width="23.125" style="2" hidden="1" customWidth="1"/>
    <col min="9" max="10" width="9.125" style="2" customWidth="1"/>
    <col min="11" max="11" width="14.25390625" style="2" bestFit="1" customWidth="1"/>
    <col min="12" max="16384" width="9.125" style="2" customWidth="1"/>
  </cols>
  <sheetData>
    <row r="1" spans="1:6" ht="23.25" customHeight="1">
      <c r="A1" s="137" t="s">
        <v>417</v>
      </c>
      <c r="B1" s="38"/>
      <c r="C1" s="363" t="s">
        <v>420</v>
      </c>
      <c r="D1" s="363"/>
      <c r="E1" s="363"/>
      <c r="F1" s="363"/>
    </row>
    <row r="2" spans="1:6" ht="16.5" customHeight="1">
      <c r="A2" s="138" t="s">
        <v>419</v>
      </c>
      <c r="B2" s="38"/>
      <c r="C2" s="387" t="s">
        <v>57</v>
      </c>
      <c r="D2" s="387"/>
      <c r="E2" s="387"/>
      <c r="F2" s="387"/>
    </row>
    <row r="3" spans="1:6" ht="14.25" customHeight="1">
      <c r="A3" s="388" t="s">
        <v>418</v>
      </c>
      <c r="B3" s="388"/>
      <c r="C3" s="388"/>
      <c r="D3" s="388"/>
      <c r="E3" s="388"/>
      <c r="F3" s="388"/>
    </row>
    <row r="4" spans="1:5" ht="27.75" customHeight="1">
      <c r="A4" s="389" t="s">
        <v>95</v>
      </c>
      <c r="B4" s="389"/>
      <c r="C4" s="389"/>
      <c r="D4" s="389"/>
      <c r="E4" s="389"/>
    </row>
    <row r="5" spans="1:5" ht="15" customHeight="1">
      <c r="A5" s="385" t="s">
        <v>623</v>
      </c>
      <c r="B5" s="385"/>
      <c r="C5" s="385"/>
      <c r="D5" s="385"/>
      <c r="E5" s="385"/>
    </row>
    <row r="6" spans="2:5" ht="15.75">
      <c r="B6" s="9"/>
      <c r="C6" s="26"/>
      <c r="E6" s="27" t="s">
        <v>96</v>
      </c>
    </row>
    <row r="7" spans="1:8" ht="17.25" customHeight="1">
      <c r="A7" s="164" t="s">
        <v>97</v>
      </c>
      <c r="B7" s="116" t="s">
        <v>98</v>
      </c>
      <c r="C7" s="116" t="s">
        <v>99</v>
      </c>
      <c r="D7" s="116" t="s">
        <v>421</v>
      </c>
      <c r="E7" s="116" t="s">
        <v>100</v>
      </c>
      <c r="F7" s="17" t="s">
        <v>101</v>
      </c>
      <c r="G7" s="17" t="s">
        <v>102</v>
      </c>
      <c r="H7" s="17"/>
    </row>
    <row r="8" spans="1:8" s="154" customFormat="1" ht="17.25" customHeight="1">
      <c r="A8" s="206" t="s">
        <v>447</v>
      </c>
      <c r="B8" s="165">
        <v>100</v>
      </c>
      <c r="C8" s="165"/>
      <c r="D8" s="166">
        <f>D9+D12+D15+D22+D25</f>
        <v>80045531044</v>
      </c>
      <c r="E8" s="166">
        <f>E9+E12+E15+E22+E25</f>
        <v>99581882926</v>
      </c>
      <c r="F8" s="153" t="e">
        <f>F9+F12+F15+F22+F25+#REF!</f>
        <v>#REF!</v>
      </c>
      <c r="G8" s="153" t="e">
        <f>G9+G12+G15+G22+G25+#REF!</f>
        <v>#REF!</v>
      </c>
      <c r="H8" s="153" t="e">
        <f>H9+H12+H15+H22+H25+#REF!</f>
        <v>#REF!</v>
      </c>
    </row>
    <row r="9" spans="1:8" s="154" customFormat="1" ht="17.25" customHeight="1">
      <c r="A9" s="167" t="s">
        <v>103</v>
      </c>
      <c r="B9" s="168">
        <v>110</v>
      </c>
      <c r="C9" s="168"/>
      <c r="D9" s="169">
        <f>D10+D11</f>
        <v>7229425791</v>
      </c>
      <c r="E9" s="169">
        <f>E10+E11</f>
        <v>11478147073</v>
      </c>
      <c r="F9" s="155" t="e">
        <f>F10+F11+#REF!</f>
        <v>#REF!</v>
      </c>
      <c r="G9" s="155" t="e">
        <f>G10+G11+#REF!</f>
        <v>#REF!</v>
      </c>
      <c r="H9" s="155" t="e">
        <f>H10+H11+#REF!</f>
        <v>#REF!</v>
      </c>
    </row>
    <row r="10" spans="1:8" s="154" customFormat="1" ht="17.25" customHeight="1">
      <c r="A10" s="170" t="s">
        <v>104</v>
      </c>
      <c r="B10" s="171">
        <v>111</v>
      </c>
      <c r="C10" s="171" t="s">
        <v>105</v>
      </c>
      <c r="D10" s="172">
        <f>TMBC!C164+TMBC!C165</f>
        <v>1229425791</v>
      </c>
      <c r="E10" s="172">
        <v>6478147073</v>
      </c>
      <c r="F10" s="156">
        <v>241018495</v>
      </c>
      <c r="G10" s="156">
        <v>157167058</v>
      </c>
      <c r="H10" s="156">
        <v>1814674</v>
      </c>
    </row>
    <row r="11" spans="1:8" s="154" customFormat="1" ht="17.25" customHeight="1">
      <c r="A11" s="170" t="s">
        <v>106</v>
      </c>
      <c r="B11" s="171">
        <v>112</v>
      </c>
      <c r="C11" s="171"/>
      <c r="D11" s="172">
        <f>TMBC!C166</f>
        <v>6000000000</v>
      </c>
      <c r="E11" s="172">
        <v>5000000000</v>
      </c>
      <c r="F11" s="156">
        <f>226062951+18952683+300000000+9217260+239603804+3276000000</f>
        <v>4069836698</v>
      </c>
      <c r="G11" s="156">
        <f>277752365+51108405+300000000+8764275+39760730+3526000000</f>
        <v>4203385775</v>
      </c>
      <c r="H11" s="156">
        <f>745811821+24986919+2160000000+46000000+8439308+39760730+3626000000</f>
        <v>6650998778</v>
      </c>
    </row>
    <row r="12" spans="1:8" s="154" customFormat="1" ht="17.25" customHeight="1">
      <c r="A12" s="167" t="s">
        <v>107</v>
      </c>
      <c r="B12" s="168">
        <v>120</v>
      </c>
      <c r="C12" s="171" t="s">
        <v>108</v>
      </c>
      <c r="D12" s="169">
        <f>D13+D14</f>
        <v>2200000000</v>
      </c>
      <c r="E12" s="169">
        <f>E13+E14</f>
        <v>1400000000</v>
      </c>
      <c r="F12" s="155" t="e">
        <f>F13+#REF!+F14</f>
        <v>#REF!</v>
      </c>
      <c r="G12" s="155" t="e">
        <f>G13+#REF!+G14</f>
        <v>#REF!</v>
      </c>
      <c r="H12" s="155" t="e">
        <f>H13+#REF!+H14</f>
        <v>#REF!</v>
      </c>
    </row>
    <row r="13" spans="1:8" s="154" customFormat="1" ht="17.25" customHeight="1">
      <c r="A13" s="170" t="s">
        <v>109</v>
      </c>
      <c r="B13" s="171">
        <v>121</v>
      </c>
      <c r="C13" s="171"/>
      <c r="D13" s="172">
        <f>TMBC!C175</f>
        <v>2200000000</v>
      </c>
      <c r="E13" s="172">
        <v>1400000000</v>
      </c>
      <c r="F13" s="156"/>
      <c r="G13" s="156"/>
      <c r="H13" s="156"/>
    </row>
    <row r="14" spans="1:8" s="154" customFormat="1" ht="16.5" customHeight="1" hidden="1">
      <c r="A14" s="170" t="s">
        <v>110</v>
      </c>
      <c r="B14" s="171">
        <v>129</v>
      </c>
      <c r="C14" s="171"/>
      <c r="D14" s="172"/>
      <c r="E14" s="172"/>
      <c r="F14" s="156"/>
      <c r="G14" s="156"/>
      <c r="H14" s="156"/>
    </row>
    <row r="15" spans="1:8" s="154" customFormat="1" ht="17.25" customHeight="1">
      <c r="A15" s="167" t="s">
        <v>111</v>
      </c>
      <c r="B15" s="168">
        <v>130</v>
      </c>
      <c r="C15" s="168"/>
      <c r="D15" s="169">
        <f>D16+D17+D18+D19+D20+D21</f>
        <v>32440059604</v>
      </c>
      <c r="E15" s="169">
        <f>E16+E17+E18+E19+E20+E21</f>
        <v>44698535730</v>
      </c>
      <c r="F15" s="155" t="e">
        <f>F16+F17+F18+F19+F20+F21</f>
        <v>#REF!</v>
      </c>
      <c r="G15" s="155" t="e">
        <f>G16+G17+G18+G19+G20+G21</f>
        <v>#REF!</v>
      </c>
      <c r="H15" s="155" t="e">
        <f>H16+H17+H18+H19+H20+H21</f>
        <v>#REF!</v>
      </c>
    </row>
    <row r="16" spans="1:8" s="154" customFormat="1" ht="17.25" customHeight="1">
      <c r="A16" s="170" t="s">
        <v>112</v>
      </c>
      <c r="B16" s="171">
        <v>131</v>
      </c>
      <c r="C16" s="171"/>
      <c r="D16" s="172">
        <v>37162935655</v>
      </c>
      <c r="E16" s="172">
        <v>41997128512</v>
      </c>
      <c r="F16" s="156">
        <v>12578049321</v>
      </c>
      <c r="G16" s="156">
        <v>10130146218</v>
      </c>
      <c r="H16" s="156">
        <v>11600741663</v>
      </c>
    </row>
    <row r="17" spans="1:8" s="154" customFormat="1" ht="17.25" customHeight="1">
      <c r="A17" s="170" t="s">
        <v>113</v>
      </c>
      <c r="B17" s="171">
        <v>132</v>
      </c>
      <c r="C17" s="171"/>
      <c r="D17" s="172">
        <v>1815914817</v>
      </c>
      <c r="E17" s="172">
        <v>10804095159</v>
      </c>
      <c r="F17" s="156">
        <v>469580427</v>
      </c>
      <c r="G17" s="156">
        <v>556031929</v>
      </c>
      <c r="H17" s="156">
        <v>356959933</v>
      </c>
    </row>
    <row r="18" spans="1:8" s="154" customFormat="1" ht="16.5" customHeight="1" hidden="1">
      <c r="A18" s="170" t="s">
        <v>114</v>
      </c>
      <c r="B18" s="171">
        <v>133</v>
      </c>
      <c r="C18" s="171"/>
      <c r="D18" s="172"/>
      <c r="E18" s="172"/>
      <c r="F18" s="156"/>
      <c r="G18" s="156"/>
      <c r="H18" s="156"/>
    </row>
    <row r="19" spans="1:8" s="154" customFormat="1" ht="16.5" customHeight="1" hidden="1">
      <c r="A19" s="170" t="s">
        <v>115</v>
      </c>
      <c r="B19" s="171">
        <v>134</v>
      </c>
      <c r="C19" s="171"/>
      <c r="D19" s="172"/>
      <c r="E19" s="172"/>
      <c r="F19" s="156" t="e">
        <f>#REF!+#REF!</f>
        <v>#REF!</v>
      </c>
      <c r="G19" s="156" t="e">
        <f>#REF!+#REF!</f>
        <v>#REF!</v>
      </c>
      <c r="H19" s="156" t="e">
        <f>#REF!+#REF!</f>
        <v>#REF!</v>
      </c>
    </row>
    <row r="20" spans="1:8" s="154" customFormat="1" ht="17.25" customHeight="1">
      <c r="A20" s="170" t="s">
        <v>116</v>
      </c>
      <c r="B20" s="171">
        <v>135</v>
      </c>
      <c r="C20" s="171" t="s">
        <v>117</v>
      </c>
      <c r="D20" s="172">
        <f>TMBC!C183</f>
        <v>129537241</v>
      </c>
      <c r="E20" s="172">
        <v>63306990</v>
      </c>
      <c r="F20" s="156">
        <f>98071329+850000+24353800+8938385+24542753</f>
        <v>156756267</v>
      </c>
      <c r="G20" s="156">
        <f>81598339+15936400+8814185+37982753</f>
        <v>144331677</v>
      </c>
      <c r="H20" s="156">
        <f>77312507+28581300+8378061+15175353</f>
        <v>129447221</v>
      </c>
    </row>
    <row r="21" spans="1:8" s="154" customFormat="1" ht="17.25" customHeight="1">
      <c r="A21" s="170" t="s">
        <v>118</v>
      </c>
      <c r="B21" s="171">
        <v>139</v>
      </c>
      <c r="C21" s="171"/>
      <c r="D21" s="173">
        <v>-6668328109</v>
      </c>
      <c r="E21" s="173">
        <v>-8165994931</v>
      </c>
      <c r="F21" s="156">
        <v>-447227630</v>
      </c>
      <c r="G21" s="156">
        <v>-447227630</v>
      </c>
      <c r="H21" s="156"/>
    </row>
    <row r="22" spans="1:8" s="154" customFormat="1" ht="17.25" customHeight="1">
      <c r="A22" s="167" t="s">
        <v>119</v>
      </c>
      <c r="B22" s="168">
        <v>140</v>
      </c>
      <c r="C22" s="168"/>
      <c r="D22" s="169">
        <f>SUM(D23:D24)</f>
        <v>34978069254</v>
      </c>
      <c r="E22" s="169">
        <f>SUM(E23:E24)</f>
        <v>39410684494</v>
      </c>
      <c r="F22" s="155">
        <f>SUM(F23:F24)</f>
        <v>-413924000</v>
      </c>
      <c r="G22" s="155">
        <f>SUM(G23:G24)</f>
        <v>-413924000</v>
      </c>
      <c r="H22" s="155">
        <f>SUM(H23:H24)</f>
        <v>0</v>
      </c>
    </row>
    <row r="23" spans="1:8" s="154" customFormat="1" ht="17.25" customHeight="1">
      <c r="A23" s="170" t="s">
        <v>120</v>
      </c>
      <c r="B23" s="171">
        <v>141</v>
      </c>
      <c r="C23" s="171" t="s">
        <v>121</v>
      </c>
      <c r="D23" s="172">
        <f>TMBC!C194</f>
        <v>34978069254</v>
      </c>
      <c r="E23" s="172">
        <v>39410684494</v>
      </c>
      <c r="F23" s="156"/>
      <c r="G23" s="156"/>
      <c r="H23" s="156"/>
    </row>
    <row r="24" spans="1:8" s="154" customFormat="1" ht="17.25" customHeight="1">
      <c r="A24" s="170" t="s">
        <v>122</v>
      </c>
      <c r="B24" s="171">
        <v>149</v>
      </c>
      <c r="C24" s="171"/>
      <c r="D24" s="173"/>
      <c r="E24" s="173"/>
      <c r="F24" s="156">
        <v>-413924000</v>
      </c>
      <c r="G24" s="156">
        <v>-413924000</v>
      </c>
      <c r="H24" s="156"/>
    </row>
    <row r="25" spans="1:8" s="154" customFormat="1" ht="17.25" customHeight="1">
      <c r="A25" s="167" t="s">
        <v>123</v>
      </c>
      <c r="B25" s="168">
        <v>150</v>
      </c>
      <c r="C25" s="168"/>
      <c r="D25" s="169">
        <f>SUM(D26:D29)</f>
        <v>3197976395</v>
      </c>
      <c r="E25" s="169">
        <f>SUM(E26:E29)</f>
        <v>2594515629</v>
      </c>
      <c r="F25" s="155">
        <f>SUM(F26:F29)</f>
        <v>515531811</v>
      </c>
      <c r="G25" s="155">
        <f>SUM(G26:G29)</f>
        <v>651799394</v>
      </c>
      <c r="H25" s="155">
        <f>SUM(H26:H29)</f>
        <v>713841355</v>
      </c>
    </row>
    <row r="26" spans="1:8" s="154" customFormat="1" ht="16.5" customHeight="1">
      <c r="A26" s="170" t="s">
        <v>124</v>
      </c>
      <c r="B26" s="171">
        <v>151</v>
      </c>
      <c r="C26" s="171"/>
      <c r="D26" s="172">
        <v>1192405514</v>
      </c>
      <c r="E26" s="172">
        <v>469090000</v>
      </c>
      <c r="F26" s="156">
        <v>495239811</v>
      </c>
      <c r="G26" s="156">
        <v>624086394</v>
      </c>
      <c r="H26" s="156">
        <v>338743106</v>
      </c>
    </row>
    <row r="27" spans="1:8" s="154" customFormat="1" ht="16.5" customHeight="1">
      <c r="A27" s="170" t="s">
        <v>125</v>
      </c>
      <c r="B27" s="171">
        <v>152</v>
      </c>
      <c r="C27" s="171"/>
      <c r="D27" s="172"/>
      <c r="E27" s="172"/>
      <c r="F27" s="156"/>
      <c r="G27" s="156"/>
      <c r="H27" s="156"/>
    </row>
    <row r="28" spans="1:8" s="154" customFormat="1" ht="16.5" customHeight="1">
      <c r="A28" s="170" t="s">
        <v>126</v>
      </c>
      <c r="B28" s="171">
        <v>154</v>
      </c>
      <c r="C28" s="171" t="s">
        <v>127</v>
      </c>
      <c r="D28" s="172">
        <f>TMBC!C202</f>
        <v>1174979191</v>
      </c>
      <c r="E28" s="172">
        <v>1645267609</v>
      </c>
      <c r="F28" s="156"/>
      <c r="G28" s="156"/>
      <c r="H28" s="156"/>
    </row>
    <row r="29" spans="1:8" s="154" customFormat="1" ht="16.5" customHeight="1">
      <c r="A29" s="170" t="s">
        <v>128</v>
      </c>
      <c r="B29" s="171">
        <v>158</v>
      </c>
      <c r="C29" s="171"/>
      <c r="D29" s="172">
        <f>TMBC!C207</f>
        <v>830591690</v>
      </c>
      <c r="E29" s="172">
        <v>480158020</v>
      </c>
      <c r="F29" s="156">
        <v>20292000</v>
      </c>
      <c r="G29" s="156">
        <v>27713000</v>
      </c>
      <c r="H29" s="156">
        <v>375098249</v>
      </c>
    </row>
    <row r="30" spans="1:8" s="154" customFormat="1" ht="17.25" customHeight="1">
      <c r="A30" s="174" t="s">
        <v>446</v>
      </c>
      <c r="B30" s="175">
        <v>200</v>
      </c>
      <c r="C30" s="175"/>
      <c r="D30" s="176">
        <f>D37+D51+D56+D31</f>
        <v>61102201226.548615</v>
      </c>
      <c r="E30" s="176">
        <f>E37+E51+E56+E31</f>
        <v>25360246138</v>
      </c>
      <c r="F30" s="157">
        <f>F37+F51+F56+F57</f>
        <v>6537970346</v>
      </c>
      <c r="G30" s="157">
        <f>G37+G51+G56+G57</f>
        <v>6782346019</v>
      </c>
      <c r="H30" s="157">
        <f>H37+H51+H56+H57</f>
        <v>28302994746</v>
      </c>
    </row>
    <row r="31" spans="1:8" s="154" customFormat="1" ht="17.25" customHeight="1">
      <c r="A31" s="167" t="s">
        <v>129</v>
      </c>
      <c r="B31" s="177">
        <v>210</v>
      </c>
      <c r="C31" s="178"/>
      <c r="D31" s="167">
        <f>SUM(D32:D36)</f>
        <v>0</v>
      </c>
      <c r="E31" s="167">
        <f>SUM(E32:E36)</f>
        <v>0</v>
      </c>
      <c r="F31" s="157"/>
      <c r="G31" s="157"/>
      <c r="H31" s="157"/>
    </row>
    <row r="32" spans="1:8" s="154" customFormat="1" ht="17.25" customHeight="1">
      <c r="A32" s="170" t="s">
        <v>130</v>
      </c>
      <c r="B32" s="178">
        <v>211</v>
      </c>
      <c r="C32" s="178"/>
      <c r="D32" s="170">
        <v>0</v>
      </c>
      <c r="E32" s="170"/>
      <c r="F32" s="157"/>
      <c r="G32" s="157"/>
      <c r="H32" s="157"/>
    </row>
    <row r="33" spans="1:8" s="154" customFormat="1" ht="16.5" customHeight="1" hidden="1">
      <c r="A33" s="170" t="s">
        <v>131</v>
      </c>
      <c r="B33" s="178">
        <v>212</v>
      </c>
      <c r="C33" s="178"/>
      <c r="D33" s="170"/>
      <c r="E33" s="170"/>
      <c r="F33" s="157"/>
      <c r="G33" s="157"/>
      <c r="H33" s="157"/>
    </row>
    <row r="34" spans="1:8" s="154" customFormat="1" ht="16.5" customHeight="1" hidden="1">
      <c r="A34" s="170" t="s">
        <v>132</v>
      </c>
      <c r="B34" s="178">
        <v>213</v>
      </c>
      <c r="C34" s="178" t="s">
        <v>133</v>
      </c>
      <c r="D34" s="170"/>
      <c r="E34" s="170"/>
      <c r="F34" s="157"/>
      <c r="G34" s="157"/>
      <c r="H34" s="157"/>
    </row>
    <row r="35" spans="1:8" s="154" customFormat="1" ht="16.5" customHeight="1" hidden="1">
      <c r="A35" s="170" t="s">
        <v>134</v>
      </c>
      <c r="B35" s="178">
        <v>214</v>
      </c>
      <c r="C35" s="178" t="s">
        <v>135</v>
      </c>
      <c r="D35" s="170"/>
      <c r="E35" s="170"/>
      <c r="F35" s="157"/>
      <c r="G35" s="157"/>
      <c r="H35" s="157"/>
    </row>
    <row r="36" spans="1:8" s="154" customFormat="1" ht="16.5" customHeight="1" hidden="1">
      <c r="A36" s="170" t="s">
        <v>136</v>
      </c>
      <c r="B36" s="178">
        <v>219</v>
      </c>
      <c r="C36" s="178"/>
      <c r="D36" s="170"/>
      <c r="E36" s="170"/>
      <c r="F36" s="157"/>
      <c r="G36" s="157"/>
      <c r="H36" s="157"/>
    </row>
    <row r="37" spans="1:8" s="154" customFormat="1" ht="17.25" customHeight="1">
      <c r="A37" s="167" t="s">
        <v>137</v>
      </c>
      <c r="B37" s="168">
        <v>220</v>
      </c>
      <c r="C37" s="168"/>
      <c r="D37" s="169">
        <f>D38+D41+D44+D47</f>
        <v>59102950768</v>
      </c>
      <c r="E37" s="169">
        <f>E38+E41+E44+E47</f>
        <v>24956819075</v>
      </c>
      <c r="F37" s="155">
        <f>F38+F41+F44</f>
        <v>5000740666</v>
      </c>
      <c r="G37" s="155">
        <f>G38+G41+G44</f>
        <v>5079948339</v>
      </c>
      <c r="H37" s="155">
        <f>H38+H41+H44</f>
        <v>4991375091</v>
      </c>
    </row>
    <row r="38" spans="1:8" s="154" customFormat="1" ht="17.25" customHeight="1">
      <c r="A38" s="170" t="s">
        <v>138</v>
      </c>
      <c r="B38" s="171">
        <v>221</v>
      </c>
      <c r="C38" s="171" t="s">
        <v>139</v>
      </c>
      <c r="D38" s="172">
        <f>D39+D40</f>
        <v>54959321719</v>
      </c>
      <c r="E38" s="172">
        <f>E39+E40</f>
        <v>14738293953</v>
      </c>
      <c r="F38" s="156">
        <f>F39+F40</f>
        <v>5000740666</v>
      </c>
      <c r="G38" s="156">
        <f>G39+G40</f>
        <v>5079948339</v>
      </c>
      <c r="H38" s="156">
        <f>H39+H40</f>
        <v>4991375091</v>
      </c>
    </row>
    <row r="39" spans="1:8" s="154" customFormat="1" ht="17.25" customHeight="1">
      <c r="A39" s="179" t="s">
        <v>140</v>
      </c>
      <c r="B39" s="180">
        <v>222</v>
      </c>
      <c r="C39" s="180"/>
      <c r="D39" s="181">
        <f>TMBC!G224</f>
        <v>89465088748</v>
      </c>
      <c r="E39" s="181">
        <v>45415314366</v>
      </c>
      <c r="F39" s="158">
        <v>14259282718</v>
      </c>
      <c r="G39" s="158">
        <v>14623274582</v>
      </c>
      <c r="H39" s="156">
        <v>14581374693</v>
      </c>
    </row>
    <row r="40" spans="1:8" s="154" customFormat="1" ht="17.25" customHeight="1">
      <c r="A40" s="179" t="s">
        <v>141</v>
      </c>
      <c r="B40" s="180">
        <v>223</v>
      </c>
      <c r="C40" s="180"/>
      <c r="D40" s="182">
        <f>-TMBC!G232</f>
        <v>-34505767029</v>
      </c>
      <c r="E40" s="182">
        <v>-30677020413</v>
      </c>
      <c r="F40" s="158">
        <v>-9258542052</v>
      </c>
      <c r="G40" s="158">
        <v>-9543326243</v>
      </c>
      <c r="H40" s="158">
        <v>-9589999602</v>
      </c>
    </row>
    <row r="41" spans="1:8" s="154" customFormat="1" ht="16.5" customHeight="1" hidden="1">
      <c r="A41" s="170" t="s">
        <v>142</v>
      </c>
      <c r="B41" s="171">
        <v>224</v>
      </c>
      <c r="C41" s="171" t="s">
        <v>143</v>
      </c>
      <c r="D41" s="172">
        <f>D42-D43</f>
        <v>0</v>
      </c>
      <c r="E41" s="172">
        <f>E42-E43</f>
        <v>0</v>
      </c>
      <c r="F41" s="156"/>
      <c r="G41" s="156"/>
      <c r="H41" s="156"/>
    </row>
    <row r="42" spans="1:8" s="154" customFormat="1" ht="16.5" customHeight="1" hidden="1">
      <c r="A42" s="179" t="s">
        <v>140</v>
      </c>
      <c r="B42" s="180">
        <v>225</v>
      </c>
      <c r="C42" s="180"/>
      <c r="D42" s="181"/>
      <c r="E42" s="181"/>
      <c r="F42" s="158"/>
      <c r="G42" s="158"/>
      <c r="H42" s="158"/>
    </row>
    <row r="43" spans="1:8" s="154" customFormat="1" ht="16.5" customHeight="1" hidden="1">
      <c r="A43" s="179" t="s">
        <v>141</v>
      </c>
      <c r="B43" s="180">
        <v>226</v>
      </c>
      <c r="C43" s="180"/>
      <c r="D43" s="181"/>
      <c r="E43" s="181"/>
      <c r="F43" s="158"/>
      <c r="G43" s="158"/>
      <c r="H43" s="158"/>
    </row>
    <row r="44" spans="1:8" s="154" customFormat="1" ht="17.25" customHeight="1">
      <c r="A44" s="170" t="s">
        <v>144</v>
      </c>
      <c r="B44" s="171">
        <v>227</v>
      </c>
      <c r="C44" s="171" t="s">
        <v>145</v>
      </c>
      <c r="D44" s="172">
        <f>D45+D46</f>
        <v>2246565413</v>
      </c>
      <c r="E44" s="172">
        <f>E45+E46</f>
        <v>2368824536</v>
      </c>
      <c r="F44" s="156"/>
      <c r="G44" s="156"/>
      <c r="H44" s="156"/>
    </row>
    <row r="45" spans="1:8" s="154" customFormat="1" ht="17.25" customHeight="1">
      <c r="A45" s="179" t="s">
        <v>140</v>
      </c>
      <c r="B45" s="180">
        <v>228</v>
      </c>
      <c r="C45" s="180"/>
      <c r="D45" s="181">
        <v>3038689253</v>
      </c>
      <c r="E45" s="181">
        <v>3038689253</v>
      </c>
      <c r="F45" s="158"/>
      <c r="G45" s="158"/>
      <c r="H45" s="158"/>
    </row>
    <row r="46" spans="1:8" s="154" customFormat="1" ht="17.25" customHeight="1">
      <c r="A46" s="179" t="s">
        <v>141</v>
      </c>
      <c r="B46" s="180">
        <v>229</v>
      </c>
      <c r="C46" s="180"/>
      <c r="D46" s="182">
        <f>-TMBC!G258</f>
        <v>-792123840</v>
      </c>
      <c r="E46" s="182">
        <v>-669864717</v>
      </c>
      <c r="F46" s="158"/>
      <c r="G46" s="158"/>
      <c r="H46" s="158"/>
    </row>
    <row r="47" spans="1:8" s="154" customFormat="1" ht="17.25" customHeight="1">
      <c r="A47" s="170" t="s">
        <v>146</v>
      </c>
      <c r="B47" s="180">
        <v>230</v>
      </c>
      <c r="C47" s="171" t="s">
        <v>147</v>
      </c>
      <c r="D47" s="172">
        <f>TMBC!C275</f>
        <v>1897063636</v>
      </c>
      <c r="E47" s="172">
        <v>7849700586</v>
      </c>
      <c r="F47" s="158"/>
      <c r="G47" s="158"/>
      <c r="H47" s="158"/>
    </row>
    <row r="48" spans="1:8" s="154" customFormat="1" ht="17.25" customHeight="1">
      <c r="A48" s="167" t="s">
        <v>148</v>
      </c>
      <c r="B48" s="168">
        <v>240</v>
      </c>
      <c r="C48" s="168" t="s">
        <v>149</v>
      </c>
      <c r="D48" s="169">
        <f>D49+D50</f>
        <v>0</v>
      </c>
      <c r="E48" s="169">
        <f>E49+E50</f>
        <v>0</v>
      </c>
      <c r="F48" s="158"/>
      <c r="G48" s="158"/>
      <c r="H48" s="158"/>
    </row>
    <row r="49" spans="1:8" s="154" customFormat="1" ht="16.5" customHeight="1" hidden="1">
      <c r="A49" s="183" t="s">
        <v>150</v>
      </c>
      <c r="B49" s="180">
        <v>241</v>
      </c>
      <c r="C49" s="171"/>
      <c r="D49" s="172"/>
      <c r="E49" s="172"/>
      <c r="F49" s="158"/>
      <c r="G49" s="158"/>
      <c r="H49" s="158"/>
    </row>
    <row r="50" spans="1:8" s="154" customFormat="1" ht="16.5" customHeight="1" hidden="1">
      <c r="A50" s="183" t="s">
        <v>151</v>
      </c>
      <c r="B50" s="180">
        <v>242</v>
      </c>
      <c r="C50" s="171"/>
      <c r="D50" s="172"/>
      <c r="E50" s="172"/>
      <c r="F50" s="158"/>
      <c r="G50" s="158"/>
      <c r="H50" s="158"/>
    </row>
    <row r="51" spans="1:8" s="154" customFormat="1" ht="17.25" customHeight="1">
      <c r="A51" s="167" t="s">
        <v>152</v>
      </c>
      <c r="B51" s="168">
        <v>250</v>
      </c>
      <c r="C51" s="168"/>
      <c r="D51" s="169">
        <v>0</v>
      </c>
      <c r="E51" s="169">
        <f>SUM(E52:E55)</f>
        <v>0</v>
      </c>
      <c r="F51" s="155">
        <f>SUM(F52:F55)</f>
        <v>1537229680</v>
      </c>
      <c r="G51" s="155">
        <f>SUM(G52:G55)</f>
        <v>1537229680</v>
      </c>
      <c r="H51" s="155">
        <f>SUM(H52:H55)</f>
        <v>21084287320</v>
      </c>
    </row>
    <row r="52" spans="1:8" s="154" customFormat="1" ht="16.5" customHeight="1" hidden="1">
      <c r="A52" s="170" t="s">
        <v>153</v>
      </c>
      <c r="B52" s="171">
        <v>251</v>
      </c>
      <c r="C52" s="171"/>
      <c r="D52" s="172"/>
      <c r="E52" s="172"/>
      <c r="F52" s="156"/>
      <c r="G52" s="156"/>
      <c r="H52" s="156"/>
    </row>
    <row r="53" spans="1:8" s="154" customFormat="1" ht="16.5" customHeight="1" hidden="1">
      <c r="A53" s="170" t="s">
        <v>154</v>
      </c>
      <c r="B53" s="171">
        <v>252</v>
      </c>
      <c r="C53" s="171"/>
      <c r="D53" s="172"/>
      <c r="E53" s="172"/>
      <c r="F53" s="156">
        <f>519976500-300146820</f>
        <v>219829680</v>
      </c>
      <c r="G53" s="156">
        <f>519976500-300146820</f>
        <v>219829680</v>
      </c>
      <c r="H53" s="156">
        <f>20067034140-300146820</f>
        <v>19766887320</v>
      </c>
    </row>
    <row r="54" spans="1:8" s="154" customFormat="1" ht="17.25" customHeight="1">
      <c r="A54" s="170" t="s">
        <v>155</v>
      </c>
      <c r="B54" s="171">
        <v>258</v>
      </c>
      <c r="C54" s="171" t="s">
        <v>156</v>
      </c>
      <c r="D54" s="172">
        <v>0</v>
      </c>
      <c r="E54" s="172">
        <v>0</v>
      </c>
      <c r="F54" s="156">
        <v>1317400000</v>
      </c>
      <c r="G54" s="156">
        <v>1317400000</v>
      </c>
      <c r="H54" s="156">
        <v>1317400000</v>
      </c>
    </row>
    <row r="55" spans="1:8" s="154" customFormat="1" ht="16.5" customHeight="1" hidden="1">
      <c r="A55" s="170" t="s">
        <v>157</v>
      </c>
      <c r="B55" s="171">
        <v>259</v>
      </c>
      <c r="C55" s="171"/>
      <c r="D55" s="172"/>
      <c r="E55" s="172"/>
      <c r="F55" s="156"/>
      <c r="G55" s="156"/>
      <c r="H55" s="156"/>
    </row>
    <row r="56" spans="1:8" s="154" customFormat="1" ht="17.25" customHeight="1">
      <c r="A56" s="167" t="s">
        <v>158</v>
      </c>
      <c r="B56" s="168">
        <v>260</v>
      </c>
      <c r="C56" s="184"/>
      <c r="D56" s="169">
        <f>SUM(D57:D59)</f>
        <v>1999250458.5486112</v>
      </c>
      <c r="E56" s="169">
        <f>SUM(E57:E59)</f>
        <v>403427063</v>
      </c>
      <c r="F56" s="155"/>
      <c r="G56" s="155">
        <v>165168000</v>
      </c>
      <c r="H56" s="155">
        <f>367677035+1859655300</f>
        <v>2227332335</v>
      </c>
    </row>
    <row r="57" spans="1:8" s="154" customFormat="1" ht="15.75" customHeight="1">
      <c r="A57" s="170" t="s">
        <v>159</v>
      </c>
      <c r="B57" s="171">
        <v>261</v>
      </c>
      <c r="C57" s="171" t="s">
        <v>160</v>
      </c>
      <c r="D57" s="172">
        <f>TMBC!C285</f>
        <v>1999250458.5486112</v>
      </c>
      <c r="E57" s="172">
        <v>403427063</v>
      </c>
      <c r="F57" s="159"/>
      <c r="G57" s="159"/>
      <c r="H57" s="159"/>
    </row>
    <row r="58" spans="1:8" s="154" customFormat="1" ht="15.75" customHeight="1">
      <c r="A58" s="170" t="s">
        <v>161</v>
      </c>
      <c r="B58" s="171">
        <v>262</v>
      </c>
      <c r="C58" s="171" t="s">
        <v>162</v>
      </c>
      <c r="D58" s="185"/>
      <c r="E58" s="185"/>
      <c r="F58" s="160"/>
      <c r="G58" s="160"/>
      <c r="H58" s="160"/>
    </row>
    <row r="59" spans="1:8" s="154" customFormat="1" ht="15.75" customHeight="1">
      <c r="A59" s="186" t="s">
        <v>163</v>
      </c>
      <c r="B59" s="187">
        <v>268</v>
      </c>
      <c r="C59" s="188"/>
      <c r="D59" s="189"/>
      <c r="E59" s="189"/>
      <c r="F59" s="160"/>
      <c r="G59" s="160"/>
      <c r="H59" s="160"/>
    </row>
    <row r="60" spans="1:8" s="154" customFormat="1" ht="17.25" customHeight="1">
      <c r="A60" s="190" t="s">
        <v>164</v>
      </c>
      <c r="B60" s="199">
        <v>270</v>
      </c>
      <c r="C60" s="191"/>
      <c r="D60" s="192">
        <f>D30+D8</f>
        <v>141147732270.5486</v>
      </c>
      <c r="E60" s="192">
        <f>E30+E8</f>
        <v>124942129064</v>
      </c>
      <c r="F60" s="161" t="e">
        <f>F30+F8</f>
        <v>#REF!</v>
      </c>
      <c r="G60" s="161" t="e">
        <f>G30+G8</f>
        <v>#REF!</v>
      </c>
      <c r="H60" s="161" t="e">
        <f>H30+H8</f>
        <v>#REF!</v>
      </c>
    </row>
    <row r="61" spans="1:8" s="154" customFormat="1" ht="17.25" customHeight="1">
      <c r="A61" s="193"/>
      <c r="B61" s="194"/>
      <c r="C61" s="194"/>
      <c r="D61" s="195"/>
      <c r="E61" s="195"/>
      <c r="F61" s="161"/>
      <c r="G61" s="161"/>
      <c r="H61" s="161"/>
    </row>
    <row r="62" spans="1:8" s="154" customFormat="1" ht="24" customHeight="1">
      <c r="A62" s="164" t="s">
        <v>165</v>
      </c>
      <c r="B62" s="116" t="s">
        <v>98</v>
      </c>
      <c r="C62" s="116" t="s">
        <v>99</v>
      </c>
      <c r="D62" s="116" t="s">
        <v>421</v>
      </c>
      <c r="E62" s="116" t="s">
        <v>100</v>
      </c>
      <c r="F62" s="162" t="s">
        <v>101</v>
      </c>
      <c r="G62" s="162" t="s">
        <v>166</v>
      </c>
      <c r="H62" s="162" t="s">
        <v>167</v>
      </c>
    </row>
    <row r="63" spans="1:8" s="154" customFormat="1" ht="16.5" customHeight="1">
      <c r="A63" s="196" t="s">
        <v>168</v>
      </c>
      <c r="B63" s="197">
        <v>300</v>
      </c>
      <c r="C63" s="197"/>
      <c r="D63" s="166">
        <f>D64+D76</f>
        <v>88649764263</v>
      </c>
      <c r="E63" s="166">
        <f>E64+E76</f>
        <v>72313575474</v>
      </c>
      <c r="F63" s="153" t="e">
        <f>F64+F76+#REF!</f>
        <v>#REF!</v>
      </c>
      <c r="G63" s="153" t="e">
        <f>G64+G76+#REF!</f>
        <v>#REF!</v>
      </c>
      <c r="H63" s="153" t="e">
        <f>H64+H76+#REF!</f>
        <v>#REF!</v>
      </c>
    </row>
    <row r="64" spans="1:8" s="154" customFormat="1" ht="16.5" customHeight="1">
      <c r="A64" s="167" t="s">
        <v>169</v>
      </c>
      <c r="B64" s="168">
        <v>310</v>
      </c>
      <c r="C64" s="168"/>
      <c r="D64" s="169">
        <f>SUM(D65:D75)</f>
        <v>74435086855</v>
      </c>
      <c r="E64" s="169">
        <f>SUM(E65:E75)</f>
        <v>70399015076</v>
      </c>
      <c r="F64" s="157">
        <f>SUM(F65:F73)</f>
        <v>10331924751</v>
      </c>
      <c r="G64" s="157">
        <f>SUM(G65:G73)</f>
        <v>10445523352</v>
      </c>
      <c r="H64" s="157">
        <f>SUM(H65:H73)</f>
        <v>15082431340</v>
      </c>
    </row>
    <row r="65" spans="1:8" s="154" customFormat="1" ht="16.5" customHeight="1">
      <c r="A65" s="170" t="s">
        <v>170</v>
      </c>
      <c r="B65" s="171">
        <v>311</v>
      </c>
      <c r="C65" s="171" t="s">
        <v>171</v>
      </c>
      <c r="D65" s="172">
        <f>TMBC!C290</f>
        <v>18544858757</v>
      </c>
      <c r="E65" s="172">
        <v>7767478405</v>
      </c>
      <c r="F65" s="156"/>
      <c r="G65" s="156"/>
      <c r="H65" s="156"/>
    </row>
    <row r="66" spans="1:8" s="154" customFormat="1" ht="16.5" customHeight="1">
      <c r="A66" s="170" t="s">
        <v>172</v>
      </c>
      <c r="B66" s="171">
        <v>312</v>
      </c>
      <c r="C66" s="171"/>
      <c r="D66" s="172">
        <v>23814128954</v>
      </c>
      <c r="E66" s="172">
        <v>24252322253</v>
      </c>
      <c r="F66" s="156">
        <v>4892222971</v>
      </c>
      <c r="G66" s="156">
        <v>5207918153</v>
      </c>
      <c r="H66" s="156">
        <v>6626911654</v>
      </c>
    </row>
    <row r="67" spans="1:8" s="154" customFormat="1" ht="16.5" customHeight="1">
      <c r="A67" s="170" t="s">
        <v>173</v>
      </c>
      <c r="B67" s="171">
        <v>313</v>
      </c>
      <c r="C67" s="171"/>
      <c r="D67" s="172">
        <v>15816317232</v>
      </c>
      <c r="E67" s="172">
        <v>21479824262</v>
      </c>
      <c r="F67" s="156">
        <v>259283358</v>
      </c>
      <c r="G67" s="156">
        <v>412112752</v>
      </c>
      <c r="H67" s="156">
        <v>803983239</v>
      </c>
    </row>
    <row r="68" spans="1:8" s="154" customFormat="1" ht="16.5" customHeight="1">
      <c r="A68" s="170" t="s">
        <v>174</v>
      </c>
      <c r="B68" s="171">
        <v>314</v>
      </c>
      <c r="C68" s="171" t="s">
        <v>175</v>
      </c>
      <c r="D68" s="172">
        <f>TMBC!C296</f>
        <v>643650796</v>
      </c>
      <c r="E68" s="172">
        <v>665142486</v>
      </c>
      <c r="F68" s="156">
        <f>233913505+890272000+40324000+17319800</f>
        <v>1181829305</v>
      </c>
      <c r="G68" s="156">
        <f>51481290+718644000+78124000+22041200</f>
        <v>870290490</v>
      </c>
      <c r="H68" s="156">
        <f>94127477+598953000+88224000+17804800</f>
        <v>799109277</v>
      </c>
    </row>
    <row r="69" spans="1:8" s="154" customFormat="1" ht="16.5" customHeight="1">
      <c r="A69" s="170" t="s">
        <v>176</v>
      </c>
      <c r="B69" s="171">
        <v>315</v>
      </c>
      <c r="C69" s="171"/>
      <c r="D69" s="172">
        <v>5484795330</v>
      </c>
      <c r="E69" s="172">
        <v>6771771360</v>
      </c>
      <c r="F69" s="156">
        <v>3737949008</v>
      </c>
      <c r="G69" s="156">
        <v>3701569708</v>
      </c>
      <c r="H69" s="156">
        <v>1576073308</v>
      </c>
    </row>
    <row r="70" spans="1:8" s="154" customFormat="1" ht="16.5" customHeight="1">
      <c r="A70" s="170" t="s">
        <v>177</v>
      </c>
      <c r="B70" s="171">
        <v>316</v>
      </c>
      <c r="C70" s="171" t="s">
        <v>178</v>
      </c>
      <c r="D70" s="172">
        <f>TMBC!C307</f>
        <v>3236396200</v>
      </c>
      <c r="E70" s="172">
        <v>3262793180</v>
      </c>
      <c r="F70" s="156"/>
      <c r="G70" s="156"/>
      <c r="H70" s="156"/>
    </row>
    <row r="71" spans="1:8" s="154" customFormat="1" ht="16.5" customHeight="1" hidden="1">
      <c r="A71" s="170" t="s">
        <v>179</v>
      </c>
      <c r="B71" s="171">
        <v>317</v>
      </c>
      <c r="C71" s="171"/>
      <c r="D71" s="172"/>
      <c r="E71" s="172"/>
      <c r="F71" s="156">
        <v>7115782</v>
      </c>
      <c r="G71" s="156">
        <v>731922</v>
      </c>
      <c r="H71" s="156"/>
    </row>
    <row r="72" spans="1:8" s="154" customFormat="1" ht="16.5" customHeight="1" hidden="1">
      <c r="A72" s="170" t="s">
        <v>180</v>
      </c>
      <c r="B72" s="171">
        <v>318</v>
      </c>
      <c r="C72" s="171"/>
      <c r="D72" s="172"/>
      <c r="E72" s="172"/>
      <c r="F72" s="156"/>
      <c r="G72" s="156"/>
      <c r="H72" s="156"/>
    </row>
    <row r="73" spans="1:8" s="154" customFormat="1" ht="16.5" customHeight="1">
      <c r="A73" s="170" t="s">
        <v>181</v>
      </c>
      <c r="B73" s="171">
        <v>319</v>
      </c>
      <c r="C73" s="171" t="s">
        <v>182</v>
      </c>
      <c r="D73" s="172">
        <f>TMBC!C318</f>
        <v>203493113</v>
      </c>
      <c r="E73" s="172">
        <v>186491507</v>
      </c>
      <c r="F73" s="156">
        <f>15767000+26000000+194865394+16891933</f>
        <v>253524327</v>
      </c>
      <c r="G73" s="156">
        <f>16400000+32000000+185921394+18578933</f>
        <v>252900327</v>
      </c>
      <c r="H73" s="156">
        <f>16100000+4974478933+251774929+34000000</f>
        <v>5276353862</v>
      </c>
    </row>
    <row r="74" spans="1:8" s="154" customFormat="1" ht="16.5" customHeight="1">
      <c r="A74" s="170" t="s">
        <v>183</v>
      </c>
      <c r="B74" s="171">
        <v>320</v>
      </c>
      <c r="C74" s="171"/>
      <c r="D74" s="172">
        <v>6619667946</v>
      </c>
      <c r="E74" s="172">
        <v>5975196596</v>
      </c>
      <c r="F74" s="156"/>
      <c r="G74" s="156"/>
      <c r="H74" s="156"/>
    </row>
    <row r="75" spans="1:8" s="154" customFormat="1" ht="16.5" customHeight="1">
      <c r="A75" s="170" t="s">
        <v>430</v>
      </c>
      <c r="B75" s="171">
        <v>323</v>
      </c>
      <c r="C75" s="171"/>
      <c r="D75" s="172">
        <v>71778527</v>
      </c>
      <c r="E75" s="172">
        <v>37995027</v>
      </c>
      <c r="F75" s="156"/>
      <c r="G75" s="156"/>
      <c r="H75" s="156"/>
    </row>
    <row r="76" spans="1:8" s="154" customFormat="1" ht="16.5" customHeight="1">
      <c r="A76" s="167" t="s">
        <v>184</v>
      </c>
      <c r="B76" s="168">
        <v>330</v>
      </c>
      <c r="C76" s="168"/>
      <c r="D76" s="169">
        <f>SUM(D77:D83)</f>
        <v>14214677408</v>
      </c>
      <c r="E76" s="169">
        <f>SUM(E77:E83)</f>
        <v>1914560398</v>
      </c>
      <c r="F76" s="155">
        <f>F77+F82</f>
        <v>0</v>
      </c>
      <c r="G76" s="155">
        <f>G77+G82</f>
        <v>0</v>
      </c>
      <c r="H76" s="155">
        <f>H77+H82</f>
        <v>1859655300</v>
      </c>
    </row>
    <row r="77" spans="1:8" s="154" customFormat="1" ht="16.5" customHeight="1">
      <c r="A77" s="170" t="s">
        <v>185</v>
      </c>
      <c r="B77" s="171">
        <v>331</v>
      </c>
      <c r="C77" s="171"/>
      <c r="D77" s="172">
        <v>0</v>
      </c>
      <c r="E77" s="172">
        <v>0</v>
      </c>
      <c r="F77" s="156"/>
      <c r="G77" s="156"/>
      <c r="H77" s="156">
        <v>1859655300</v>
      </c>
    </row>
    <row r="78" spans="1:8" s="154" customFormat="1" ht="16.5" customHeight="1">
      <c r="A78" s="170" t="s">
        <v>186</v>
      </c>
      <c r="B78" s="171">
        <v>332</v>
      </c>
      <c r="C78" s="171" t="s">
        <v>187</v>
      </c>
      <c r="D78" s="172"/>
      <c r="E78" s="172"/>
      <c r="F78" s="156"/>
      <c r="G78" s="156"/>
      <c r="H78" s="156"/>
    </row>
    <row r="79" spans="1:8" s="154" customFormat="1" ht="16.5" customHeight="1">
      <c r="A79" s="170" t="s">
        <v>188</v>
      </c>
      <c r="B79" s="171">
        <v>333</v>
      </c>
      <c r="C79" s="171"/>
      <c r="D79" s="172">
        <v>1600000000</v>
      </c>
      <c r="E79" s="172">
        <v>1549885000</v>
      </c>
      <c r="F79" s="156"/>
      <c r="G79" s="156"/>
      <c r="H79" s="156"/>
    </row>
    <row r="80" spans="1:8" s="154" customFormat="1" ht="16.5" customHeight="1">
      <c r="A80" s="170" t="s">
        <v>189</v>
      </c>
      <c r="B80" s="171">
        <v>334</v>
      </c>
      <c r="C80" s="171" t="s">
        <v>190</v>
      </c>
      <c r="D80" s="172">
        <v>12355991410</v>
      </c>
      <c r="E80" s="172"/>
      <c r="F80" s="156"/>
      <c r="G80" s="156"/>
      <c r="H80" s="156"/>
    </row>
    <row r="81" spans="1:8" s="154" customFormat="1" ht="16.5" customHeight="1">
      <c r="A81" s="170" t="s">
        <v>191</v>
      </c>
      <c r="B81" s="171">
        <v>335</v>
      </c>
      <c r="C81" s="171" t="s">
        <v>162</v>
      </c>
      <c r="D81" s="172"/>
      <c r="E81" s="172"/>
      <c r="F81" s="156"/>
      <c r="G81" s="156"/>
      <c r="H81" s="156"/>
    </row>
    <row r="82" spans="1:8" s="154" customFormat="1" ht="16.5" customHeight="1">
      <c r="A82" s="170" t="s">
        <v>192</v>
      </c>
      <c r="B82" s="171">
        <v>336</v>
      </c>
      <c r="C82" s="171"/>
      <c r="D82" s="172">
        <f>TMBC!C327</f>
        <v>258685998</v>
      </c>
      <c r="E82" s="172">
        <v>364675398</v>
      </c>
      <c r="F82" s="156"/>
      <c r="G82" s="156"/>
      <c r="H82" s="156"/>
    </row>
    <row r="83" spans="1:8" s="154" customFormat="1" ht="16.5" customHeight="1">
      <c r="A83" s="170" t="s">
        <v>193</v>
      </c>
      <c r="B83" s="171">
        <v>337</v>
      </c>
      <c r="C83" s="171"/>
      <c r="D83" s="172"/>
      <c r="E83" s="172"/>
      <c r="F83" s="156"/>
      <c r="G83" s="156"/>
      <c r="H83" s="156"/>
    </row>
    <row r="84" spans="1:8" s="154" customFormat="1" ht="16.5" customHeight="1">
      <c r="A84" s="198" t="s">
        <v>194</v>
      </c>
      <c r="B84" s="175">
        <v>400</v>
      </c>
      <c r="C84" s="175"/>
      <c r="D84" s="176">
        <f>D85+D99</f>
        <v>52497968008</v>
      </c>
      <c r="E84" s="176">
        <f>E85+E99</f>
        <v>52628553590</v>
      </c>
      <c r="F84" s="157" t="e">
        <f>F85+F99</f>
        <v>#REF!</v>
      </c>
      <c r="G84" s="157" t="e">
        <f>G85+G99</f>
        <v>#REF!</v>
      </c>
      <c r="H84" s="157" t="e">
        <f>H85+H99</f>
        <v>#REF!</v>
      </c>
    </row>
    <row r="85" spans="1:8" s="154" customFormat="1" ht="16.5" customHeight="1">
      <c r="A85" s="167" t="s">
        <v>195</v>
      </c>
      <c r="B85" s="168">
        <v>410</v>
      </c>
      <c r="C85" s="168" t="s">
        <v>196</v>
      </c>
      <c r="D85" s="169">
        <f>SUM(D86:D95)</f>
        <v>52497968008</v>
      </c>
      <c r="E85" s="169">
        <f>SUM(E86:E95)</f>
        <v>52628553590</v>
      </c>
      <c r="F85" s="155">
        <f>SUM(F86:F93)</f>
        <v>17491204312</v>
      </c>
      <c r="G85" s="155">
        <f>SUM(G86:G93)</f>
        <v>17923801376</v>
      </c>
      <c r="H85" s="155">
        <f>SUM(H86:H93)</f>
        <v>37392101961</v>
      </c>
    </row>
    <row r="86" spans="1:8" s="154" customFormat="1" ht="16.5" customHeight="1">
      <c r="A86" s="170" t="s">
        <v>197</v>
      </c>
      <c r="B86" s="171">
        <v>411</v>
      </c>
      <c r="C86" s="171"/>
      <c r="D86" s="172">
        <v>27586800000</v>
      </c>
      <c r="E86" s="172">
        <v>27586800000</v>
      </c>
      <c r="F86" s="156">
        <v>14743028722</v>
      </c>
      <c r="G86" s="156">
        <v>14738307322</v>
      </c>
      <c r="H86" s="156">
        <v>27918380987</v>
      </c>
    </row>
    <row r="87" spans="1:8" s="154" customFormat="1" ht="16.5" customHeight="1">
      <c r="A87" s="170" t="s">
        <v>198</v>
      </c>
      <c r="B87" s="171">
        <v>412</v>
      </c>
      <c r="C87" s="171"/>
      <c r="D87" s="172">
        <v>4121612131</v>
      </c>
      <c r="E87" s="172">
        <v>4121612131</v>
      </c>
      <c r="F87" s="156"/>
      <c r="G87" s="156"/>
      <c r="H87" s="156">
        <v>6186259240</v>
      </c>
    </row>
    <row r="88" spans="1:8" s="154" customFormat="1" ht="16.5" customHeight="1">
      <c r="A88" s="170" t="s">
        <v>199</v>
      </c>
      <c r="B88" s="171">
        <v>413</v>
      </c>
      <c r="C88" s="171"/>
      <c r="D88" s="172"/>
      <c r="E88" s="172"/>
      <c r="F88" s="156"/>
      <c r="G88" s="156"/>
      <c r="H88" s="156"/>
    </row>
    <row r="89" spans="1:8" s="154" customFormat="1" ht="16.5" customHeight="1" hidden="1">
      <c r="A89" s="170" t="s">
        <v>200</v>
      </c>
      <c r="B89" s="171">
        <v>414</v>
      </c>
      <c r="C89" s="171"/>
      <c r="D89" s="172"/>
      <c r="E89" s="172"/>
      <c r="F89" s="156"/>
      <c r="G89" s="156"/>
      <c r="H89" s="156"/>
    </row>
    <row r="90" spans="1:8" s="154" customFormat="1" ht="16.5" customHeight="1" hidden="1">
      <c r="A90" s="170" t="s">
        <v>201</v>
      </c>
      <c r="B90" s="171">
        <v>415</v>
      </c>
      <c r="C90" s="171"/>
      <c r="D90" s="172"/>
      <c r="E90" s="172"/>
      <c r="F90" s="156">
        <v>857514047</v>
      </c>
      <c r="G90" s="156">
        <v>857514047</v>
      </c>
      <c r="H90" s="156">
        <v>2042236182</v>
      </c>
    </row>
    <row r="91" spans="1:8" s="154" customFormat="1" ht="16.5" customHeight="1">
      <c r="A91" s="170" t="s">
        <v>202</v>
      </c>
      <c r="B91" s="171">
        <v>416</v>
      </c>
      <c r="C91" s="171"/>
      <c r="D91" s="172"/>
      <c r="E91" s="172"/>
      <c r="F91" s="156">
        <v>638941000</v>
      </c>
      <c r="G91" s="156">
        <v>638941000</v>
      </c>
      <c r="H91" s="156">
        <v>957275000</v>
      </c>
    </row>
    <row r="92" spans="1:8" s="154" customFormat="1" ht="16.5" customHeight="1">
      <c r="A92" s="170" t="s">
        <v>203</v>
      </c>
      <c r="B92" s="171">
        <v>417</v>
      </c>
      <c r="C92" s="171"/>
      <c r="D92" s="172">
        <v>10105505854</v>
      </c>
      <c r="E92" s="172">
        <v>9305505854</v>
      </c>
      <c r="F92" s="156">
        <v>1251720543</v>
      </c>
      <c r="G92" s="156">
        <v>1689039007</v>
      </c>
      <c r="H92" s="156">
        <v>287950552</v>
      </c>
    </row>
    <row r="93" spans="1:8" s="154" customFormat="1" ht="16.5" customHeight="1">
      <c r="A93" s="170" t="s">
        <v>204</v>
      </c>
      <c r="B93" s="171">
        <v>418</v>
      </c>
      <c r="C93" s="171"/>
      <c r="D93" s="172">
        <v>650000000</v>
      </c>
      <c r="E93" s="172">
        <v>650000000</v>
      </c>
      <c r="F93" s="156">
        <v>0</v>
      </c>
      <c r="G93" s="156">
        <v>0</v>
      </c>
      <c r="H93" s="156">
        <v>0</v>
      </c>
    </row>
    <row r="94" spans="1:8" s="154" customFormat="1" ht="16.5" customHeight="1">
      <c r="A94" s="170" t="s">
        <v>205</v>
      </c>
      <c r="B94" s="171">
        <v>419</v>
      </c>
      <c r="C94" s="171"/>
      <c r="D94" s="172"/>
      <c r="E94" s="172"/>
      <c r="F94" s="156"/>
      <c r="G94" s="156"/>
      <c r="H94" s="156"/>
    </row>
    <row r="95" spans="1:8" s="154" customFormat="1" ht="16.5" customHeight="1">
      <c r="A95" s="170" t="s">
        <v>206</v>
      </c>
      <c r="B95" s="171">
        <v>420</v>
      </c>
      <c r="C95" s="171"/>
      <c r="D95" s="172">
        <f>D96+D97</f>
        <v>10034050023</v>
      </c>
      <c r="E95" s="172">
        <v>10964635605</v>
      </c>
      <c r="F95" s="156"/>
      <c r="G95" s="156"/>
      <c r="H95" s="156"/>
    </row>
    <row r="96" spans="1:8" s="154" customFormat="1" ht="16.5" customHeight="1">
      <c r="A96" s="179" t="s">
        <v>55</v>
      </c>
      <c r="B96" s="180"/>
      <c r="C96" s="180"/>
      <c r="D96" s="181">
        <v>3700775605</v>
      </c>
      <c r="E96" s="181"/>
      <c r="F96" s="156"/>
      <c r="G96" s="156"/>
      <c r="H96" s="156"/>
    </row>
    <row r="97" spans="1:8" s="154" customFormat="1" ht="16.5" customHeight="1">
      <c r="A97" s="179" t="s">
        <v>56</v>
      </c>
      <c r="B97" s="180"/>
      <c r="C97" s="180"/>
      <c r="D97" s="181">
        <v>6333274418</v>
      </c>
      <c r="E97" s="181"/>
      <c r="F97" s="156"/>
      <c r="G97" s="156"/>
      <c r="H97" s="156"/>
    </row>
    <row r="98" spans="1:8" s="154" customFormat="1" ht="16.5" customHeight="1">
      <c r="A98" s="170" t="s">
        <v>207</v>
      </c>
      <c r="B98" s="171">
        <v>421</v>
      </c>
      <c r="C98" s="171"/>
      <c r="D98" s="172"/>
      <c r="E98" s="172"/>
      <c r="F98" s="156"/>
      <c r="G98" s="156"/>
      <c r="H98" s="156"/>
    </row>
    <row r="99" spans="1:8" s="154" customFormat="1" ht="16.5" customHeight="1">
      <c r="A99" s="167" t="s">
        <v>208</v>
      </c>
      <c r="B99" s="168">
        <v>430</v>
      </c>
      <c r="C99" s="184"/>
      <c r="D99" s="185">
        <f>SUM(D100:D101)</f>
        <v>0</v>
      </c>
      <c r="E99" s="185">
        <f>SUM(E100:E101)</f>
        <v>0</v>
      </c>
      <c r="F99" s="155" t="e">
        <f>SUM(F100:F101)+#REF!</f>
        <v>#REF!</v>
      </c>
      <c r="G99" s="155" t="e">
        <f>SUM(G100:G101)+#REF!</f>
        <v>#REF!</v>
      </c>
      <c r="H99" s="155" t="e">
        <f>SUM(H100:H101)+#REF!</f>
        <v>#REF!</v>
      </c>
    </row>
    <row r="100" spans="1:8" s="154" customFormat="1" ht="16.5" customHeight="1">
      <c r="A100" s="170" t="s">
        <v>431</v>
      </c>
      <c r="B100" s="171">
        <v>432</v>
      </c>
      <c r="C100" s="171"/>
      <c r="D100" s="172"/>
      <c r="E100" s="172"/>
      <c r="F100" s="156">
        <v>1252276361</v>
      </c>
      <c r="G100" s="156">
        <v>1172276361</v>
      </c>
      <c r="H100" s="156">
        <v>1407062361</v>
      </c>
    </row>
    <row r="101" spans="1:8" s="154" customFormat="1" ht="16.5" customHeight="1">
      <c r="A101" s="170" t="s">
        <v>432</v>
      </c>
      <c r="B101" s="171">
        <v>433</v>
      </c>
      <c r="C101" s="171"/>
      <c r="D101" s="172"/>
      <c r="E101" s="172"/>
      <c r="F101" s="156"/>
      <c r="G101" s="156"/>
      <c r="H101" s="156"/>
    </row>
    <row r="102" spans="1:8" s="154" customFormat="1" ht="16.5" customHeight="1">
      <c r="A102" s="190" t="s">
        <v>209</v>
      </c>
      <c r="B102" s="199">
        <v>440</v>
      </c>
      <c r="C102" s="199"/>
      <c r="D102" s="192">
        <f>D84+D63</f>
        <v>141147732271</v>
      </c>
      <c r="E102" s="192">
        <f>E84+E63</f>
        <v>124942129064</v>
      </c>
      <c r="F102" s="163" t="e">
        <f>F84+F63</f>
        <v>#REF!</v>
      </c>
      <c r="G102" s="163" t="e">
        <f>G84+G63</f>
        <v>#REF!</v>
      </c>
      <c r="H102" s="163" t="e">
        <f>H84+H63</f>
        <v>#REF!</v>
      </c>
    </row>
    <row r="103" spans="1:5" ht="24.75" customHeight="1">
      <c r="A103" s="200"/>
      <c r="B103" s="201"/>
      <c r="C103" s="202" t="s">
        <v>632</v>
      </c>
      <c r="D103" s="202"/>
      <c r="E103" s="202"/>
    </row>
    <row r="104" spans="1:8" s="36" customFormat="1" ht="23.25" customHeight="1">
      <c r="A104" s="386" t="s">
        <v>465</v>
      </c>
      <c r="B104" s="386"/>
      <c r="C104" s="386"/>
      <c r="D104" s="386"/>
      <c r="E104" s="386"/>
      <c r="F104" s="35"/>
      <c r="G104" s="35"/>
      <c r="H104" s="35" t="s">
        <v>210</v>
      </c>
    </row>
    <row r="105" spans="1:8" s="36" customFormat="1" ht="12.75" customHeight="1">
      <c r="A105" s="203"/>
      <c r="B105" s="204"/>
      <c r="C105" s="204"/>
      <c r="D105" s="18"/>
      <c r="E105" s="10"/>
      <c r="F105" s="35"/>
      <c r="G105" s="35"/>
      <c r="H105" s="35"/>
    </row>
    <row r="106" spans="1:5" ht="15.75">
      <c r="A106" s="205"/>
      <c r="B106" s="201"/>
      <c r="C106" s="201"/>
      <c r="D106" s="129"/>
      <c r="E106" s="129"/>
    </row>
    <row r="107" spans="1:5" ht="15.75">
      <c r="A107" s="205"/>
      <c r="B107" s="201"/>
      <c r="C107" s="201"/>
      <c r="D107" s="129"/>
      <c r="E107" s="129"/>
    </row>
    <row r="108" spans="1:5" ht="15.75">
      <c r="A108" s="205"/>
      <c r="B108" s="201"/>
      <c r="C108" s="201"/>
      <c r="D108" s="129"/>
      <c r="E108" s="129"/>
    </row>
    <row r="109" spans="1:5" ht="13.5" customHeight="1">
      <c r="A109" s="205"/>
      <c r="B109" s="201"/>
      <c r="C109" s="201"/>
      <c r="D109" s="129"/>
      <c r="E109" s="129"/>
    </row>
    <row r="110" spans="1:5" s="154" customFormat="1" ht="15">
      <c r="A110" s="258" t="s">
        <v>569</v>
      </c>
      <c r="B110" s="258"/>
      <c r="C110" s="258"/>
      <c r="D110" s="258"/>
      <c r="E110" s="258"/>
    </row>
    <row r="111" ht="15">
      <c r="D111" s="1">
        <f>D102-D60</f>
        <v>0.451385498046875</v>
      </c>
    </row>
  </sheetData>
  <sheetProtection/>
  <mergeCells count="6">
    <mergeCell ref="A5:E5"/>
    <mergeCell ref="A104:E104"/>
    <mergeCell ref="C1:F1"/>
    <mergeCell ref="C2:F2"/>
    <mergeCell ref="A3:F3"/>
    <mergeCell ref="A4:E4"/>
  </mergeCells>
  <printOptions/>
  <pageMargins left="0.87" right="0.25" top="0.32" bottom="0.23" header="0.22" footer="0.17"/>
  <pageSetup horizontalDpi="600" verticalDpi="600" orientation="portrait" paperSize="9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3">
      <selection activeCell="D19" sqref="D19"/>
    </sheetView>
  </sheetViews>
  <sheetFormatPr defaultColWidth="9.00390625" defaultRowHeight="12.75"/>
  <cols>
    <col min="1" max="1" width="40.75390625" style="2" customWidth="1"/>
    <col min="2" max="2" width="4.25390625" style="2" customWidth="1"/>
    <col min="3" max="3" width="4.875" style="2" customWidth="1"/>
    <col min="4" max="5" width="14.875" style="347" customWidth="1"/>
    <col min="6" max="7" width="15.125" style="347" hidden="1" customWidth="1"/>
    <col min="8" max="9" width="14.875" style="348" customWidth="1"/>
    <col min="10" max="16384" width="9.125" style="2" customWidth="1"/>
  </cols>
  <sheetData>
    <row r="1" spans="1:9" ht="16.5">
      <c r="A1" s="361" t="s">
        <v>553</v>
      </c>
      <c r="B1" s="38"/>
      <c r="C1" s="38"/>
      <c r="D1" s="323"/>
      <c r="E1" s="323"/>
      <c r="F1" s="323"/>
      <c r="G1" s="323"/>
      <c r="H1" s="396" t="s">
        <v>510</v>
      </c>
      <c r="I1" s="396"/>
    </row>
    <row r="2" spans="1:9" ht="15.75">
      <c r="A2" s="145" t="s">
        <v>639</v>
      </c>
      <c r="B2" s="38"/>
      <c r="C2" s="38"/>
      <c r="D2" s="323"/>
      <c r="E2" s="323"/>
      <c r="F2" s="323"/>
      <c r="G2" s="323"/>
      <c r="H2" s="397" t="s">
        <v>509</v>
      </c>
      <c r="I2" s="397"/>
    </row>
    <row r="3" spans="1:9" ht="12.75">
      <c r="A3" s="250" t="s">
        <v>638</v>
      </c>
      <c r="B3" s="39"/>
      <c r="C3" s="39"/>
      <c r="D3" s="324"/>
      <c r="E3" s="324"/>
      <c r="F3" s="324"/>
      <c r="G3" s="324"/>
      <c r="H3" s="398" t="s">
        <v>511</v>
      </c>
      <c r="I3" s="398"/>
    </row>
    <row r="4" spans="1:9" ht="14.25">
      <c r="A4" s="236"/>
      <c r="B4" s="237"/>
      <c r="C4" s="237"/>
      <c r="D4" s="324"/>
      <c r="E4" s="324"/>
      <c r="F4" s="324"/>
      <c r="G4" s="324"/>
      <c r="H4" s="325"/>
      <c r="I4" s="325"/>
    </row>
    <row r="5" spans="1:9" ht="28.5" customHeight="1">
      <c r="A5" s="399" t="s">
        <v>551</v>
      </c>
      <c r="B5" s="399"/>
      <c r="C5" s="399"/>
      <c r="D5" s="399"/>
      <c r="E5" s="399"/>
      <c r="F5" s="399"/>
      <c r="G5" s="399"/>
      <c r="H5" s="399"/>
      <c r="I5" s="399"/>
    </row>
    <row r="6" spans="1:9" ht="15.75" customHeight="1">
      <c r="A6" s="393" t="s">
        <v>469</v>
      </c>
      <c r="B6" s="393"/>
      <c r="C6" s="393"/>
      <c r="D6" s="393"/>
      <c r="E6" s="393"/>
      <c r="F6" s="393"/>
      <c r="G6" s="393"/>
      <c r="H6" s="393"/>
      <c r="I6" s="393"/>
    </row>
    <row r="7" spans="1:9" ht="15">
      <c r="A7" s="394" t="s">
        <v>624</v>
      </c>
      <c r="B7" s="394"/>
      <c r="C7" s="394"/>
      <c r="D7" s="394"/>
      <c r="E7" s="394"/>
      <c r="F7" s="394"/>
      <c r="G7" s="394"/>
      <c r="H7" s="394"/>
      <c r="I7" s="394"/>
    </row>
    <row r="8" spans="1:9" s="234" customFormat="1" ht="20.25" customHeight="1">
      <c r="A8" s="238"/>
      <c r="B8" s="38"/>
      <c r="C8" s="38"/>
      <c r="D8" s="323"/>
      <c r="E8" s="323"/>
      <c r="F8" s="323"/>
      <c r="G8" s="323"/>
      <c r="H8" s="395" t="s">
        <v>470</v>
      </c>
      <c r="I8" s="395"/>
    </row>
    <row r="9" spans="1:9" s="225" customFormat="1" ht="16.5" customHeight="1">
      <c r="A9" s="239"/>
      <c r="B9" s="240" t="s">
        <v>471</v>
      </c>
      <c r="C9" s="400" t="s">
        <v>472</v>
      </c>
      <c r="D9" s="402" t="s">
        <v>635</v>
      </c>
      <c r="E9" s="403"/>
      <c r="F9" s="402" t="s">
        <v>561</v>
      </c>
      <c r="G9" s="403"/>
      <c r="H9" s="391" t="s">
        <v>568</v>
      </c>
      <c r="I9" s="392"/>
    </row>
    <row r="10" spans="1:9" s="225" customFormat="1" ht="16.5" customHeight="1">
      <c r="A10" s="241" t="s">
        <v>473</v>
      </c>
      <c r="B10" s="242" t="s">
        <v>474</v>
      </c>
      <c r="C10" s="401"/>
      <c r="D10" s="326" t="s">
        <v>64</v>
      </c>
      <c r="E10" s="327" t="s">
        <v>65</v>
      </c>
      <c r="F10" s="326" t="s">
        <v>64</v>
      </c>
      <c r="G10" s="327" t="s">
        <v>65</v>
      </c>
      <c r="H10" s="328" t="s">
        <v>64</v>
      </c>
      <c r="I10" s="329" t="s">
        <v>65</v>
      </c>
    </row>
    <row r="11" spans="1:9" s="244" customFormat="1" ht="15" customHeight="1">
      <c r="A11" s="243">
        <v>1</v>
      </c>
      <c r="B11" s="243">
        <v>2</v>
      </c>
      <c r="C11" s="243">
        <v>3</v>
      </c>
      <c r="D11" s="330"/>
      <c r="E11" s="330"/>
      <c r="F11" s="330"/>
      <c r="G11" s="330"/>
      <c r="H11" s="331">
        <v>6</v>
      </c>
      <c r="I11" s="331">
        <v>7</v>
      </c>
    </row>
    <row r="12" spans="1:9" s="205" customFormat="1" ht="15.75" customHeight="1">
      <c r="A12" s="247" t="s">
        <v>475</v>
      </c>
      <c r="B12" s="262"/>
      <c r="C12" s="262"/>
      <c r="D12" s="332"/>
      <c r="E12" s="332"/>
      <c r="F12" s="333"/>
      <c r="G12" s="332"/>
      <c r="H12" s="333"/>
      <c r="I12" s="334"/>
    </row>
    <row r="13" spans="1:9" s="205" customFormat="1" ht="15.75" customHeight="1">
      <c r="A13" s="245" t="s">
        <v>476</v>
      </c>
      <c r="B13" s="287" t="s">
        <v>67</v>
      </c>
      <c r="C13" s="293"/>
      <c r="D13" s="318">
        <v>36025951012</v>
      </c>
      <c r="E13" s="318">
        <v>31924206681</v>
      </c>
      <c r="F13" s="335">
        <v>49471771436</v>
      </c>
      <c r="G13" s="336">
        <v>40423626880</v>
      </c>
      <c r="H13" s="337">
        <v>139925199691</v>
      </c>
      <c r="I13" s="337">
        <v>106144092497</v>
      </c>
    </row>
    <row r="14" spans="1:9" s="205" customFormat="1" ht="15.75" customHeight="1">
      <c r="A14" s="245" t="s">
        <v>477</v>
      </c>
      <c r="B14" s="287" t="s">
        <v>70</v>
      </c>
      <c r="C14" s="293"/>
      <c r="D14" s="335">
        <f>-19867882381+1565488438</f>
        <v>-18302393943</v>
      </c>
      <c r="E14" s="335">
        <v>-25054826490</v>
      </c>
      <c r="F14" s="335">
        <f>-37911128121+13855723017</f>
        <v>-24055405104</v>
      </c>
      <c r="G14" s="336">
        <v>-29812494917</v>
      </c>
      <c r="H14" s="337">
        <v>-82573119998</v>
      </c>
      <c r="I14" s="337">
        <v>-75952203037</v>
      </c>
    </row>
    <row r="15" spans="1:9" s="129" customFormat="1" ht="15.75" customHeight="1">
      <c r="A15" s="245" t="s">
        <v>478</v>
      </c>
      <c r="B15" s="287" t="s">
        <v>479</v>
      </c>
      <c r="C15" s="293"/>
      <c r="D15" s="335">
        <v>-5053667575</v>
      </c>
      <c r="E15" s="318">
        <v>-5294807780</v>
      </c>
      <c r="F15" s="335">
        <v>-4938937199</v>
      </c>
      <c r="G15" s="336">
        <v>-4759885230</v>
      </c>
      <c r="H15" s="337">
        <v>-17388026823</v>
      </c>
      <c r="I15" s="337">
        <v>-16213110114</v>
      </c>
    </row>
    <row r="16" spans="1:9" s="129" customFormat="1" ht="15.75" customHeight="1">
      <c r="A16" s="245" t="s">
        <v>480</v>
      </c>
      <c r="B16" s="287" t="s">
        <v>481</v>
      </c>
      <c r="C16" s="293"/>
      <c r="D16" s="335">
        <v>-728938522</v>
      </c>
      <c r="E16" s="318">
        <v>-327240891</v>
      </c>
      <c r="F16" s="335">
        <v>-308423894</v>
      </c>
      <c r="G16" s="336">
        <v>-31646192</v>
      </c>
      <c r="H16" s="337">
        <v>-1134214619</v>
      </c>
      <c r="I16" s="337">
        <v>-428877508</v>
      </c>
    </row>
    <row r="17" spans="1:9" s="129" customFormat="1" ht="15.75" customHeight="1">
      <c r="A17" s="245" t="s">
        <v>482</v>
      </c>
      <c r="B17" s="287" t="s">
        <v>483</v>
      </c>
      <c r="C17" s="293"/>
      <c r="D17" s="335">
        <v>-904499275</v>
      </c>
      <c r="E17" s="318">
        <v>-1389287604</v>
      </c>
      <c r="F17" s="335">
        <v>-697415385</v>
      </c>
      <c r="G17" s="336">
        <v>-554209919</v>
      </c>
      <c r="H17" s="337">
        <v>-2035235011</v>
      </c>
      <c r="I17" s="337">
        <v>-2202813309</v>
      </c>
    </row>
    <row r="18" spans="1:9" s="129" customFormat="1" ht="15.75" customHeight="1">
      <c r="A18" s="245" t="s">
        <v>484</v>
      </c>
      <c r="B18" s="287" t="s">
        <v>485</v>
      </c>
      <c r="C18" s="293"/>
      <c r="D18" s="335">
        <f>8091411762-128526291</f>
        <v>7962885471</v>
      </c>
      <c r="E18" s="318">
        <v>1024903167</v>
      </c>
      <c r="F18" s="338">
        <f>1269597808+10580223</f>
        <v>1280178031</v>
      </c>
      <c r="G18" s="339">
        <v>345331353</v>
      </c>
      <c r="H18" s="337">
        <v>10920384878</v>
      </c>
      <c r="I18" s="337">
        <v>2885767102</v>
      </c>
    </row>
    <row r="19" spans="1:9" s="129" customFormat="1" ht="15.75" customHeight="1">
      <c r="A19" s="245" t="s">
        <v>486</v>
      </c>
      <c r="B19" s="287" t="s">
        <v>487</v>
      </c>
      <c r="C19" s="293"/>
      <c r="D19" s="335">
        <v>-8223477780</v>
      </c>
      <c r="E19" s="318">
        <v>-3205074277</v>
      </c>
      <c r="F19" s="335">
        <f>-13711305322-26300000+5517360000</f>
        <v>-8220245322</v>
      </c>
      <c r="G19" s="336">
        <v>-4413200766</v>
      </c>
      <c r="H19" s="337">
        <v>-20176502728</v>
      </c>
      <c r="I19" s="337">
        <v>-12834526176</v>
      </c>
    </row>
    <row r="20" spans="1:9" s="129" customFormat="1" ht="15.75" customHeight="1">
      <c r="A20" s="246" t="s">
        <v>488</v>
      </c>
      <c r="B20" s="289">
        <v>20</v>
      </c>
      <c r="C20" s="295"/>
      <c r="D20" s="315">
        <f>D13+D14+D15+D16+D17+D18+D19</f>
        <v>10775859388</v>
      </c>
      <c r="E20" s="315">
        <v>-2322127194</v>
      </c>
      <c r="F20" s="315">
        <f>F13+F14+F15+F16+F17+F18+F19</f>
        <v>12531522563</v>
      </c>
      <c r="G20" s="316">
        <f>G13+G14+G15+G16+G17+G18+G19</f>
        <v>1197521209</v>
      </c>
      <c r="H20" s="315">
        <v>27538485390</v>
      </c>
      <c r="I20" s="315">
        <v>1398329455</v>
      </c>
    </row>
    <row r="21" spans="1:9" s="129" customFormat="1" ht="15.75" customHeight="1">
      <c r="A21" s="247" t="s">
        <v>489</v>
      </c>
      <c r="B21" s="288"/>
      <c r="C21" s="294"/>
      <c r="D21" s="319"/>
      <c r="E21" s="319"/>
      <c r="F21" s="336"/>
      <c r="G21" s="316"/>
      <c r="H21" s="315">
        <v>0</v>
      </c>
      <c r="I21" s="315">
        <v>0</v>
      </c>
    </row>
    <row r="22" spans="1:9" s="129" customFormat="1" ht="15.75" customHeight="1">
      <c r="A22" s="245" t="s">
        <v>636</v>
      </c>
      <c r="B22" s="290">
        <v>21</v>
      </c>
      <c r="C22" s="296"/>
      <c r="D22" s="337">
        <f>-8669341028-1565488438</f>
        <v>-10234829466</v>
      </c>
      <c r="E22" s="319">
        <v>-6561554426</v>
      </c>
      <c r="F22" s="336">
        <v>-14256574073</v>
      </c>
      <c r="G22" s="336">
        <v>-5434278984</v>
      </c>
      <c r="H22" s="337">
        <v>-29211324148</v>
      </c>
      <c r="I22" s="337">
        <v>-12782991865</v>
      </c>
    </row>
    <row r="23" spans="1:9" s="129" customFormat="1" ht="15.75" customHeight="1">
      <c r="A23" s="245" t="s">
        <v>490</v>
      </c>
      <c r="B23" s="290">
        <v>22</v>
      </c>
      <c r="C23" s="296"/>
      <c r="D23" s="319"/>
      <c r="E23" s="319"/>
      <c r="F23" s="340"/>
      <c r="G23" s="336"/>
      <c r="H23" s="337">
        <v>0</v>
      </c>
      <c r="I23" s="337">
        <v>0</v>
      </c>
    </row>
    <row r="24" spans="1:9" s="129" customFormat="1" ht="15.75" customHeight="1">
      <c r="A24" s="245" t="s">
        <v>491</v>
      </c>
      <c r="B24" s="290">
        <v>23</v>
      </c>
      <c r="C24" s="296"/>
      <c r="D24" s="337">
        <v>-4000000000</v>
      </c>
      <c r="E24" s="319">
        <v>-5000000000</v>
      </c>
      <c r="F24" s="336">
        <v>-5517360000</v>
      </c>
      <c r="G24" s="336">
        <v>-13963710676</v>
      </c>
      <c r="H24" s="337">
        <v>-10517360000</v>
      </c>
      <c r="I24" s="337">
        <v>-18963710676</v>
      </c>
    </row>
    <row r="25" spans="1:9" s="129" customFormat="1" ht="15.75" customHeight="1">
      <c r="A25" s="245" t="s">
        <v>492</v>
      </c>
      <c r="B25" s="290">
        <v>24</v>
      </c>
      <c r="C25" s="296"/>
      <c r="D25" s="319">
        <v>2000000000</v>
      </c>
      <c r="E25" s="319">
        <v>10963710676</v>
      </c>
      <c r="F25" s="337">
        <v>10717360000</v>
      </c>
      <c r="G25" s="336">
        <v>3000000000</v>
      </c>
      <c r="H25" s="337">
        <v>17717360000</v>
      </c>
      <c r="I25" s="337">
        <v>13963710676</v>
      </c>
    </row>
    <row r="26" spans="1:9" s="129" customFormat="1" ht="14.25" customHeight="1">
      <c r="A26" s="245" t="s">
        <v>493</v>
      </c>
      <c r="B26" s="290">
        <v>25</v>
      </c>
      <c r="C26" s="296"/>
      <c r="D26" s="319"/>
      <c r="E26" s="319"/>
      <c r="F26" s="340"/>
      <c r="G26" s="340"/>
      <c r="H26" s="337">
        <v>0</v>
      </c>
      <c r="I26" s="337">
        <v>0</v>
      </c>
    </row>
    <row r="27" spans="1:9" s="129" customFormat="1" ht="14.25" customHeight="1">
      <c r="A27" s="245" t="s">
        <v>494</v>
      </c>
      <c r="B27" s="290">
        <v>26</v>
      </c>
      <c r="C27" s="296"/>
      <c r="D27" s="319"/>
      <c r="E27" s="319"/>
      <c r="F27" s="340"/>
      <c r="G27" s="336"/>
      <c r="H27" s="337">
        <v>0</v>
      </c>
      <c r="I27" s="337">
        <v>0</v>
      </c>
    </row>
    <row r="28" spans="1:9" s="129" customFormat="1" ht="15.75" customHeight="1">
      <c r="A28" s="245" t="s">
        <v>495</v>
      </c>
      <c r="B28" s="290">
        <v>27</v>
      </c>
      <c r="C28" s="296"/>
      <c r="D28" s="319">
        <v>128526291</v>
      </c>
      <c r="E28" s="319">
        <v>439035762</v>
      </c>
      <c r="F28" s="337">
        <v>503779777</v>
      </c>
      <c r="G28" s="336">
        <v>77426436</v>
      </c>
      <c r="H28" s="337">
        <v>686551187</v>
      </c>
      <c r="I28" s="337">
        <v>631349082</v>
      </c>
    </row>
    <row r="29" spans="1:9" s="129" customFormat="1" ht="15.75" customHeight="1">
      <c r="A29" s="246" t="s">
        <v>496</v>
      </c>
      <c r="B29" s="289">
        <v>30</v>
      </c>
      <c r="C29" s="295"/>
      <c r="D29" s="315">
        <f>D22+D23+D24+D25+D26+D27+D28</f>
        <v>-12106303175</v>
      </c>
      <c r="E29" s="315">
        <v>-158807988</v>
      </c>
      <c r="F29" s="315">
        <f>F22+F23+F24+F25+F26+F27+F28</f>
        <v>-8552794296</v>
      </c>
      <c r="G29" s="316">
        <f>G22+G23+G24+G25+G26+G27+G28</f>
        <v>-16320563224</v>
      </c>
      <c r="H29" s="315">
        <v>-21324772961</v>
      </c>
      <c r="I29" s="315">
        <v>-17151642783</v>
      </c>
    </row>
    <row r="30" spans="1:9" s="129" customFormat="1" ht="15.75" customHeight="1">
      <c r="A30" s="247" t="s">
        <v>497</v>
      </c>
      <c r="B30" s="288"/>
      <c r="C30" s="294"/>
      <c r="D30" s="319"/>
      <c r="E30" s="319"/>
      <c r="F30" s="336"/>
      <c r="G30" s="336"/>
      <c r="H30" s="337">
        <v>0</v>
      </c>
      <c r="I30" s="337">
        <v>0</v>
      </c>
    </row>
    <row r="31" spans="1:9" s="129" customFormat="1" ht="15.75" customHeight="1">
      <c r="A31" s="245" t="s">
        <v>498</v>
      </c>
      <c r="B31" s="290">
        <v>31</v>
      </c>
      <c r="C31" s="296"/>
      <c r="D31" s="319"/>
      <c r="E31" s="319">
        <v>3656856000</v>
      </c>
      <c r="F31" s="340"/>
      <c r="G31" s="336">
        <v>10964044000</v>
      </c>
      <c r="H31" s="337">
        <v>0</v>
      </c>
      <c r="I31" s="337">
        <v>14620900000</v>
      </c>
    </row>
    <row r="32" spans="1:9" s="129" customFormat="1" ht="15.75" customHeight="1">
      <c r="A32" s="245" t="s">
        <v>622</v>
      </c>
      <c r="B32" s="290"/>
      <c r="C32" s="296"/>
      <c r="D32" s="319"/>
      <c r="E32" s="319"/>
      <c r="F32" s="340"/>
      <c r="G32" s="340"/>
      <c r="H32" s="337">
        <v>0</v>
      </c>
      <c r="I32" s="337">
        <v>0</v>
      </c>
    </row>
    <row r="33" spans="1:9" s="129" customFormat="1" ht="15.75" customHeight="1">
      <c r="A33" s="245" t="s">
        <v>499</v>
      </c>
      <c r="B33" s="290"/>
      <c r="C33" s="296"/>
      <c r="D33" s="319"/>
      <c r="E33" s="319"/>
      <c r="F33" s="340"/>
      <c r="G33" s="340"/>
      <c r="H33" s="337">
        <v>0</v>
      </c>
      <c r="I33" s="337">
        <v>0</v>
      </c>
    </row>
    <row r="34" spans="1:9" s="129" customFormat="1" ht="15.75" customHeight="1">
      <c r="A34" s="245" t="s">
        <v>500</v>
      </c>
      <c r="B34" s="290">
        <v>33</v>
      </c>
      <c r="C34" s="296"/>
      <c r="D34" s="319"/>
      <c r="E34" s="319">
        <v>3330868967</v>
      </c>
      <c r="F34" s="337">
        <v>10000000000</v>
      </c>
      <c r="G34" s="336">
        <v>3931834380</v>
      </c>
      <c r="H34" s="337">
        <v>17986596856</v>
      </c>
      <c r="I34" s="337">
        <v>7262703347</v>
      </c>
    </row>
    <row r="35" spans="1:9" s="129" customFormat="1" ht="15.75" customHeight="1">
      <c r="A35" s="245" t="s">
        <v>501</v>
      </c>
      <c r="B35" s="290">
        <v>34</v>
      </c>
      <c r="C35" s="296"/>
      <c r="D35" s="319"/>
      <c r="E35" s="319">
        <v>-2313208667</v>
      </c>
      <c r="F35" s="336">
        <v>-10981261202</v>
      </c>
      <c r="G35" s="336"/>
      <c r="H35" s="337">
        <v>-22931670567</v>
      </c>
      <c r="I35" s="337">
        <v>-5116138377</v>
      </c>
    </row>
    <row r="36" spans="1:9" s="129" customFormat="1" ht="15.75" customHeight="1">
      <c r="A36" s="245" t="s">
        <v>502</v>
      </c>
      <c r="B36" s="290">
        <v>35</v>
      </c>
      <c r="C36" s="296"/>
      <c r="D36" s="319"/>
      <c r="E36" s="319"/>
      <c r="F36" s="340"/>
      <c r="G36" s="340"/>
      <c r="H36" s="337">
        <v>0</v>
      </c>
      <c r="I36" s="337">
        <v>0</v>
      </c>
    </row>
    <row r="37" spans="1:9" s="129" customFormat="1" ht="15.75" customHeight="1">
      <c r="A37" s="245" t="s">
        <v>503</v>
      </c>
      <c r="B37" s="290">
        <v>36</v>
      </c>
      <c r="C37" s="296"/>
      <c r="D37" s="319"/>
      <c r="E37" s="319"/>
      <c r="F37" s="336">
        <v>-5517360000</v>
      </c>
      <c r="G37" s="336">
        <v>-857165000</v>
      </c>
      <c r="H37" s="337">
        <v>-5517360000</v>
      </c>
      <c r="I37" s="337">
        <v>-2571495000</v>
      </c>
    </row>
    <row r="38" spans="1:9" s="129" customFormat="1" ht="15.75" customHeight="1">
      <c r="A38" s="246" t="s">
        <v>504</v>
      </c>
      <c r="B38" s="289">
        <v>40</v>
      </c>
      <c r="C38" s="295"/>
      <c r="D38" s="315">
        <f>SUM(D31:D37)</f>
        <v>0</v>
      </c>
      <c r="E38" s="315">
        <v>4674516300</v>
      </c>
      <c r="F38" s="316">
        <f>SUM(F31:F37)</f>
        <v>-6498621202</v>
      </c>
      <c r="G38" s="316">
        <f>SUM(G31:G37)</f>
        <v>14038713380</v>
      </c>
      <c r="H38" s="315">
        <v>-10462433711</v>
      </c>
      <c r="I38" s="315">
        <v>14195969970</v>
      </c>
    </row>
    <row r="39" spans="1:9" s="129" customFormat="1" ht="15.75" customHeight="1">
      <c r="A39" s="247" t="s">
        <v>505</v>
      </c>
      <c r="B39" s="291">
        <v>50</v>
      </c>
      <c r="C39" s="297"/>
      <c r="D39" s="341">
        <f>D20+D29+D38</f>
        <v>-1330443787</v>
      </c>
      <c r="E39" s="320">
        <v>2193581118</v>
      </c>
      <c r="F39" s="342">
        <f>F20+F29+F38</f>
        <v>-2519892935</v>
      </c>
      <c r="G39" s="342">
        <f>G20+G29+G38</f>
        <v>-1084328635</v>
      </c>
      <c r="H39" s="341">
        <f>H20+H29+H38</f>
        <v>-4248721282</v>
      </c>
      <c r="I39" s="341">
        <f>I20+I29+I38</f>
        <v>-1557343358</v>
      </c>
    </row>
    <row r="40" spans="1:9" s="129" customFormat="1" ht="15.75" customHeight="1">
      <c r="A40" s="247" t="s">
        <v>506</v>
      </c>
      <c r="B40" s="291">
        <v>60</v>
      </c>
      <c r="C40" s="298"/>
      <c r="D40" s="343">
        <f>F42</f>
        <v>8559869578</v>
      </c>
      <c r="E40" s="321">
        <v>1077486858</v>
      </c>
      <c r="F40" s="343">
        <v>11079762513</v>
      </c>
      <c r="G40" s="344">
        <v>2161815493</v>
      </c>
      <c r="H40" s="345">
        <v>11478147073</v>
      </c>
      <c r="I40" s="346">
        <v>4828411334</v>
      </c>
    </row>
    <row r="41" spans="1:9" s="129" customFormat="1" ht="15.75" customHeight="1">
      <c r="A41" s="263" t="s">
        <v>552</v>
      </c>
      <c r="B41" s="290">
        <v>61</v>
      </c>
      <c r="C41" s="296"/>
      <c r="D41" s="319"/>
      <c r="E41" s="319"/>
      <c r="F41" s="340"/>
      <c r="G41" s="316"/>
      <c r="H41" s="315"/>
      <c r="I41" s="315"/>
    </row>
    <row r="42" spans="1:9" s="129" customFormat="1" ht="15.75" customHeight="1">
      <c r="A42" s="248" t="s">
        <v>507</v>
      </c>
      <c r="B42" s="292">
        <v>70</v>
      </c>
      <c r="C42" s="299" t="s">
        <v>508</v>
      </c>
      <c r="D42" s="322">
        <f>SUM(D39:D41)</f>
        <v>7229425791</v>
      </c>
      <c r="E42" s="322">
        <v>3271067976</v>
      </c>
      <c r="F42" s="317">
        <f>SUM(F39:F41)</f>
        <v>8559869578</v>
      </c>
      <c r="G42" s="317">
        <f>SUM(G39:G41)</f>
        <v>1077486858</v>
      </c>
      <c r="H42" s="322">
        <f>SUM(H39:H41)</f>
        <v>7229425791</v>
      </c>
      <c r="I42" s="322">
        <f>SUM(I39:I41)</f>
        <v>3271067976</v>
      </c>
    </row>
    <row r="43" ht="9" customHeight="1"/>
    <row r="44" spans="1:12" s="229" customFormat="1" ht="20.25" customHeight="1">
      <c r="A44" s="230"/>
      <c r="B44" s="231"/>
      <c r="C44" s="232"/>
      <c r="D44" s="349"/>
      <c r="E44" s="350" t="s">
        <v>637</v>
      </c>
      <c r="F44" s="351" t="s">
        <v>634</v>
      </c>
      <c r="G44" s="351"/>
      <c r="H44" s="352"/>
      <c r="I44" s="353"/>
      <c r="L44" s="232"/>
    </row>
    <row r="45" spans="1:9" s="36" customFormat="1" ht="16.5" customHeight="1">
      <c r="A45" s="223" t="s">
        <v>566</v>
      </c>
      <c r="B45" s="223"/>
      <c r="C45" s="223"/>
      <c r="D45" s="354"/>
      <c r="E45" s="354"/>
      <c r="F45" s="354"/>
      <c r="G45" s="354"/>
      <c r="H45" s="355"/>
      <c r="I45" s="355"/>
    </row>
    <row r="46" spans="1:9" s="36" customFormat="1" ht="12.75" customHeight="1">
      <c r="A46" s="203"/>
      <c r="B46" s="204"/>
      <c r="C46" s="204"/>
      <c r="D46" s="356"/>
      <c r="E46" s="356"/>
      <c r="F46" s="356"/>
      <c r="G46" s="356"/>
      <c r="H46" s="390"/>
      <c r="I46" s="390"/>
    </row>
    <row r="47" spans="1:9" ht="14.25" customHeight="1">
      <c r="A47" s="205"/>
      <c r="B47" s="201"/>
      <c r="C47" s="201"/>
      <c r="D47" s="357"/>
      <c r="E47" s="357"/>
      <c r="F47" s="357"/>
      <c r="G47" s="357"/>
      <c r="H47" s="358"/>
      <c r="I47" s="358"/>
    </row>
    <row r="48" spans="1:9" ht="15.75">
      <c r="A48" s="205"/>
      <c r="B48" s="201"/>
      <c r="C48" s="201"/>
      <c r="D48" s="357"/>
      <c r="E48" s="357"/>
      <c r="F48" s="357"/>
      <c r="G48" s="357"/>
      <c r="H48" s="358"/>
      <c r="I48" s="358"/>
    </row>
    <row r="49" spans="1:9" ht="15.75">
      <c r="A49" s="205"/>
      <c r="B49" s="201"/>
      <c r="C49" s="201"/>
      <c r="D49" s="357"/>
      <c r="E49" s="357"/>
      <c r="F49" s="357"/>
      <c r="G49" s="357"/>
      <c r="H49" s="358"/>
      <c r="I49" s="358"/>
    </row>
    <row r="50" spans="1:9" ht="13.5" customHeight="1">
      <c r="A50" s="205"/>
      <c r="B50" s="201"/>
      <c r="C50" s="201"/>
      <c r="D50" s="357"/>
      <c r="E50" s="357"/>
      <c r="F50" s="357"/>
      <c r="G50" s="357"/>
      <c r="H50" s="358"/>
      <c r="I50" s="358"/>
    </row>
    <row r="51" spans="1:13" s="154" customFormat="1" ht="15">
      <c r="A51" s="235" t="s">
        <v>567</v>
      </c>
      <c r="B51" s="235"/>
      <c r="C51" s="235"/>
      <c r="D51" s="359"/>
      <c r="E51" s="359"/>
      <c r="F51" s="359"/>
      <c r="G51" s="359"/>
      <c r="H51" s="360"/>
      <c r="I51" s="360"/>
      <c r="J51" s="235"/>
      <c r="K51" s="235"/>
      <c r="L51" s="235"/>
      <c r="M51" s="235"/>
    </row>
  </sheetData>
  <sheetProtection/>
  <mergeCells count="12">
    <mergeCell ref="F9:G9"/>
    <mergeCell ref="D9:E9"/>
    <mergeCell ref="H46:I46"/>
    <mergeCell ref="H9:I9"/>
    <mergeCell ref="A6:I6"/>
    <mergeCell ref="A7:I7"/>
    <mergeCell ref="H8:I8"/>
    <mergeCell ref="H1:I1"/>
    <mergeCell ref="H2:I2"/>
    <mergeCell ref="H3:I3"/>
    <mergeCell ref="A5:I5"/>
    <mergeCell ref="C9:C10"/>
  </mergeCells>
  <printOptions/>
  <pageMargins left="0.34" right="0.23" top="0.25" bottom="0.23" header="0.22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Tung Hiep</dc:creator>
  <cp:keywords/>
  <dc:description/>
  <cp:lastModifiedBy>thuytckt1</cp:lastModifiedBy>
  <cp:lastPrinted>2012-10-11T01:16:05Z</cp:lastPrinted>
  <dcterms:created xsi:type="dcterms:W3CDTF">2009-07-07T02:41:51Z</dcterms:created>
  <dcterms:modified xsi:type="dcterms:W3CDTF">2012-10-16T07:35:26Z</dcterms:modified>
  <cp:category/>
  <cp:version/>
  <cp:contentType/>
  <cp:contentStatus/>
</cp:coreProperties>
</file>